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How to Use" sheetId="1" state="visible" r:id="rId3"/>
    <sheet name="Inputs" sheetId="2" state="visible" r:id="rId4"/>
    <sheet name="Model" sheetId="3" state="visible" r:id="rId5"/>
    <sheet name="Sensitivities" sheetId="4" state="visible" r:id="rId6"/>
    <sheet name="Desk Cost" sheetId="5" state="visible" r:id="rId7"/>
    <sheet name="Scenarios" sheetId="6" state="visible" r:id="rId8"/>
  </sheets>
  <definedNames>
    <definedName function="false" hidden="false" name="AbsenceDays" vbProcedure="false">Inputs!$C$24</definedName>
    <definedName function="false" hidden="false" name="AttrBase" vbProcedure="false">Inputs!$C$20</definedName>
    <definedName function="false" hidden="false" name="AttrHybrid" vbProcedure="false">Inputs!$C$21</definedName>
    <definedName function="false" hidden="false" name="AttrPointsAvoided" vbProcedure="false">Model!$C$35</definedName>
    <definedName function="false" hidden="false" name="CollabPct" vbProcedure="false">Inputs!$C$27</definedName>
    <definedName function="false" hidden="false" name="CommuteMin" vbProcedure="false">Inputs!$C$14</definedName>
    <definedName function="false" hidden="false" name="DC_AvgOcc" vbProcedure="false">'Desk Cost'!$B$36</definedName>
    <definedName function="false" hidden="false" name="DC_AvgPeople" vbProcedure="false">'Desk Cost'!$B$37</definedName>
    <definedName function="false" hidden="false" name="DC_Buffer" vbProcedure="false">'Desk Cost'!$B$25</definedName>
    <definedName function="false" hidden="false" name="DC_Cost" vbProcedure="false">'Desk Cost'!$B$34</definedName>
    <definedName function="false" hidden="false" name="DC_CostBuilt" vbProcedure="false">'Desk Cost'!$B$17</definedName>
    <definedName function="false" hidden="false" name="DC_CostEntered" vbProcedure="false">'Desk Cost'!$B$9</definedName>
    <definedName function="false" hidden="false" name="DC_DayNames" vbProcedure="false">'Desk Cost'!$A$41:$A$45</definedName>
    <definedName function="false" hidden="false" name="DC_Desks" vbProcedure="false">'Desk Cost'!$B$7</definedName>
    <definedName function="false" hidden="false" name="DC_Extras" vbProcedure="false">'Desk Cost'!$B$14</definedName>
    <definedName function="false" hidden="false" name="DC_Fri" vbProcedure="false">'Desk Cost'!$B$24</definedName>
    <definedName function="false" hidden="false" name="DC_LowDay" vbProcedure="false">'Desk Cost'!$B$52</definedName>
    <definedName function="false" hidden="false" name="DC_LowOcc" vbProcedure="false">'Desk Cost'!$B$53</definedName>
    <definedName function="false" hidden="false" name="DC_MaxOcc" vbProcedure="false">'Desk Cost'!$B$66</definedName>
    <definedName function="false" hidden="false" name="DC_Method" vbProcedure="false">'Desk Cost'!$B$8</definedName>
    <definedName function="false" hidden="false" name="DC_Mon" vbProcedure="false">'Desk Cost'!$B$20</definedName>
    <definedName function="false" hidden="false" name="DC_Months" vbProcedure="false">'Desk Cost'!$B$72</definedName>
    <definedName function="false" hidden="false" name="DC_Needed" vbProcedure="false">'Desk Cost'!$B$57</definedName>
    <definedName function="false" hidden="false" name="DC_OccRange" vbProcedure="false">'Desk Cost'!$B$41:$B$45</definedName>
    <definedName function="false" hidden="false" name="DC_PeakDay" vbProcedure="false">'Desk Cost'!$B$49</definedName>
    <definedName function="false" hidden="false" name="DC_PeakOcc" vbProcedure="false">'Desk Cost'!$B$50</definedName>
    <definedName function="false" hidden="false" name="DC_PeakPeople" vbProcedure="false">'Desk Cost'!$B$51</definedName>
    <definedName function="false" hidden="false" name="DC_PeakSaving" vbProcedure="false">'Desk Cost'!$B$59</definedName>
    <definedName function="false" hidden="false" name="DC_PeopleRange" vbProcedure="false">'Desk Cost'!$C$41:$C$45</definedName>
    <definedName function="false" hidden="false" name="DC_PerDesk" vbProcedure="false">'Desk Cost'!$B$35</definedName>
    <definedName function="false" hidden="false" name="DC_PerOcc" vbProcedure="false">'Desk Cost'!$B$38</definedName>
    <definedName function="false" hidden="false" name="DC_Ratio" vbProcedure="false">'Desk Cost'!$B$54</definedName>
    <definedName function="false" hidden="false" name="DC_Release" vbProcedure="false">'Desk Cost'!$B$30</definedName>
    <definedName function="false" hidden="false" name="DC_ReleaseSaving" vbProcedure="false">'Desk Cost'!$B$64</definedName>
    <definedName function="false" hidden="false" name="DC_Remaining" vbProcedure="false">'Desk Cost'!$B$63</definedName>
    <definedName function="false" hidden="false" name="DC_RenewDate" vbProcedure="false">'Desk Cost'!$B$28</definedName>
    <definedName function="false" hidden="false" name="DC_Rent" vbProcedure="false">'Desk Cost'!$B$12</definedName>
    <definedName function="false" hidden="false" name="DC_RentSeat" vbProcedure="false">'Desk Cost'!$B$15</definedName>
    <definedName function="false" hidden="false" name="DC_Short" vbProcedure="false">'Desk Cost'!$B$65</definedName>
    <definedName function="false" hidden="false" name="DC_SqFt" vbProcedure="false">'Desk Cost'!$B$13</definedName>
    <definedName function="false" hidden="false" name="DC_Surplus" vbProcedure="false">'Desk Cost'!$B$58</definedName>
    <definedName function="false" hidden="false" name="DC_Term" vbProcedure="false">'Desk Cost'!$B$29</definedName>
    <definedName function="false" hidden="false" name="DC_Thu" vbProcedure="false">'Desk Cost'!$B$23</definedName>
    <definedName function="false" hidden="false" name="DC_Today" vbProcedure="false">'Desk Cost'!$B$71</definedName>
    <definedName function="false" hidden="false" name="DC_Tue" vbProcedure="false">'Desk Cost'!$B$21</definedName>
    <definedName function="false" hidden="false" name="DC_Verdict" vbProcedure="false">'Desk Cost'!$B$67</definedName>
    <definedName function="false" hidden="false" name="DC_Wed" vbProcedure="false">'Desk Cost'!$B$22</definedName>
    <definedName function="false" hidden="false" name="DepartureCost" vbProcedure="false">Inputs!$C$22</definedName>
    <definedName function="false" hidden="false" name="Headcount" vbProcedure="false">Inputs!$C$8</definedName>
    <definedName function="false" hidden="false" name="HiringRate" vbProcedure="false">Inputs!$C$29</definedName>
    <definedName function="false" hidden="false" name="HomeDays" vbProcedure="false">Model!$C$31</definedName>
    <definedName function="false" hidden="false" name="HomeDaysWk" vbProcedure="false">Inputs!$C$12</definedName>
    <definedName function="false" hidden="false" name="HourlyRate" vbProcedure="false">Model!$C$30</definedName>
    <definedName function="false" hidden="false" name="HoursPerDay" vbProcedure="false">Inputs!$C$25</definedName>
    <definedName function="false" hidden="false" name="L_Absence" vbProcedure="false">Model!$C$9</definedName>
    <definedName function="false" hidden="false" name="L_Collab" vbProcedure="false">Model!$C$13</definedName>
    <definedName function="false" hidden="false" name="L_NewHire" vbProcedure="false">Model!$C$14</definedName>
    <definedName function="false" hidden="false" name="L_Recovered" vbProcedure="false">Model!$C$6</definedName>
    <definedName function="false" hidden="false" name="L_Space" vbProcedure="false">Model!$C$7</definedName>
    <definedName function="false" hidden="false" name="L_Travel" vbProcedure="false">Model!$C$15</definedName>
    <definedName function="false" hidden="false" name="L_Turnover" vbProcedure="false">Model!$C$8</definedName>
    <definedName function="false" hidden="false" name="MentorCost" vbProcedure="false">Model!$C$37</definedName>
    <definedName function="false" hidden="false" name="MentorHrsWk" vbProcedure="false">Inputs!$C$32</definedName>
    <definedName function="false" hidden="false" name="MentorRate" vbProcedure="false">Inputs!$C$34</definedName>
    <definedName function="false" hidden="false" name="MentorWeeks" vbProcedure="false">Inputs!$C$33</definedName>
    <definedName function="false" hidden="false" name="Net" vbProcedure="false">Model!$C$18</definedName>
    <definedName function="false" hidden="false" name="NewHireCost" vbProcedure="false">Model!$C$38</definedName>
    <definedName function="false" hidden="false" name="OfficeDayCost" vbProcedure="false">Inputs!$C$38</definedName>
    <definedName function="false" hidden="false" name="OfficeDaysBase" vbProcedure="false">Inputs!$C$11</definedName>
    <definedName function="false" hidden="false" name="OffLedgerCost" vbProcedure="false">Model!$C$26</definedName>
    <definedName function="false" hidden="false" name="OffLedgerHours" vbProcedure="false">Model!$C$23</definedName>
    <definedName function="false" hidden="false" name="PaidHours" vbProcedure="false">Inputs!$C$7</definedName>
    <definedName function="false" hidden="false" name="RampCost" vbProcedure="false">Model!$C$36</definedName>
    <definedName function="false" hidden="false" name="RampLoss" vbProcedure="false">Inputs!$C$31</definedName>
    <definedName function="false" hidden="false" name="RampWeeks" vbProcedure="false">Inputs!$C$30</definedName>
    <definedName function="false" hidden="false" name="RecoveredHours" vbProcedure="false">Model!$C$33</definedName>
    <definedName function="false" hidden="false" name="RecoveredMin" vbProcedure="false">Model!$C$32</definedName>
    <definedName function="false" hidden="false" name="Salary" vbProcedure="false">Inputs!$C$6</definedName>
    <definedName function="false" hidden="false" name="SeatCostMonth" vbProcedure="false">Inputs!$C$17</definedName>
    <definedName function="false" hidden="false" name="SeatCostYear" vbProcedure="false">Model!$C$34</definedName>
    <definedName function="false" hidden="false" name="SeatReduction" vbProcedure="false">Inputs!$C$18</definedName>
    <definedName function="false" hidden="false" name="ShareReturned" vbProcedure="false">Inputs!$C$15</definedName>
    <definedName function="false" hidden="false" name="TotalDistance" vbProcedure="false">Model!$C$10</definedName>
    <definedName function="false" hidden="false" name="TotalRoom" vbProcedure="false">Model!$C$16</definedName>
    <definedName function="false" hidden="false" name="TravelBudget" vbProcedure="false">Inputs!$C$36</definedName>
    <definedName function="false" hidden="false" name="WorkDays" vbProcedure="false">Inputs!$C$10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<sst xmlns="http://schemas.openxmlformats.org/spreadsheetml/2006/main" count="466" uniqueCount="381">
  <si>
    <t xml:space="preserve">The Visibility Trap: Both-Columns Cost Model</t>
  </si>
  <si>
    <t xml:space="preserve">Companion workbook to Chapter 31, "The Business Case, Both Columns" - The Visibility Trap by John S. Muir</t>
  </si>
  <si>
    <t xml:space="preserve">1. Start on Inputs.</t>
  </si>
  <si>
    <t xml:space="preserve">Every assumption in the model is a blue number on the Inputs sheet, with its source (chapter, study or the author's stated assumption). Replace them with your organization's salaries, attrition, seat cost and commuting facts. Change only blue cells.</t>
  </si>
  <si>
    <t xml:space="preserve">2. Read the Model.</t>
  </si>
  <si>
    <t xml:space="preserve">The Model sheet rebuilds the chapter's table: the column that favors distance, the column that favors the room, and the net, per employee and for 10, 100 and 1,000 people and for your own headcount. Every figure is a live formula.</t>
  </si>
  <si>
    <t xml:space="preserve">3. Keep the employee column on the page.</t>
  </si>
  <si>
    <t xml:space="preserve">The off-ledger column (commuting hours and office-going costs people recover) is shown beside the model but is deliberately not in the total. Show it to the board anyway.</t>
  </si>
  <si>
    <t xml:space="preserve">4. Run the sensitivities.</t>
  </si>
  <si>
    <t xml:space="preserve">The Sensitivities sheet changes one assumption at a time, as the chapter does. The space line is usually the largest single driver: if your lease cannot be released, set the seat reduction to 0%.</t>
  </si>
  <si>
    <t xml:space="preserve">5. Price your space on the Desk Cost sheet.</t>
  </si>
  <si>
    <t xml:space="preserve">The cost-per-occupied-desk calculator from Chapters 1 and 2. Enter the annual cost of a site (or build it from rent per square foot), its workstations, occupancy for each weekday, your lease renewal date and the seats you could release. It shows cost per desk, cost per occupied desk on average and for each weekday, the seats your busiest day needs, the saving if you sized the space to that day, and the months left to your renewal date (recalculated from today's date). Defaults reproduce MDI's Phoenix example: just over $26,000 per occupied desk.</t>
  </si>
  <si>
    <t xml:space="preserve">6. Compare policies on the Scenarios sheet.</t>
  </si>
  <si>
    <t xml:space="preserve">Five policies side by side, each priced against a fully on-site baseline with the Model's per-employee logic: fully on site, '3 days, your choice', '3 fixed anchor days', a tighter mandate (1 home day) and fully remote for Anywhere-zone roles. Shared figures (salary, commute, seat cost, attrition baseline, departure cost) come from Inputs; each scenario's own assumptions are blue cells in its column. The '3 fixed anchor days' column reproduces the Chapter 31 net at the defaults.</t>
  </si>
  <si>
    <t xml:space="preserve">7. Decide role by role.</t>
  </si>
  <si>
    <t xml:space="preserve">A blended average hides the zones of the Role Placement Map. For an Alongside role, raise the collaboration allowance; for an Anywhere role it may be close to zero. The fully remote scenario is meant only for roles genuinely placed in the Anywhere zone.</t>
  </si>
  <si>
    <t xml:space="preserve">Rounding.</t>
  </si>
  <si>
    <t xml:space="preserve">As in the book, each line is rounded to whole dollars per employee before it is totalled and scaled, so the defaults reproduce the chapter's table exactly (net $1,838 per employee).</t>
  </si>
  <si>
    <t xml:space="preserve">Colour key.</t>
  </si>
  <si>
    <t xml:space="preserve">Blue = input you can change. Green (Scenarios sheet) = linked to the Inputs sheet; overwrite only if you mean to depart from it. Black = formula. Do not type over black cells. Figures marked 'workbook assumption' are illustrative placeholders, not findings from the book or from research: replace them.</t>
  </si>
  <si>
    <t xml:space="preserve">From The Visibility Trap by John S. Muir - www.invisibleleadershipseries.com/visibility-trap</t>
  </si>
  <si>
    <t xml:space="preserve">Inputs</t>
  </si>
  <si>
    <t xml:space="preserve">Blue cells are editable assumptions. Defaults are the figures used in Chapter 31.</t>
  </si>
  <si>
    <t xml:space="preserve">Section</t>
  </si>
  <si>
    <t xml:space="preserve">Assumption</t>
  </si>
  <si>
    <t xml:space="preserve">Value</t>
  </si>
  <si>
    <t xml:space="preserve">Unit</t>
  </si>
  <si>
    <t xml:space="preserve">Source / note</t>
  </si>
  <si>
    <t xml:space="preserve">Workforce and pay</t>
  </si>
  <si>
    <t xml:space="preserve">Average salary</t>
  </si>
  <si>
    <t xml:space="preserve">$ / year</t>
  </si>
  <si>
    <t xml:space="preserve">Ch. 31: a round number for easy arithmetic, not MDI's figure (Ch. 5 used $110,000 for the people MDI would most regret losing). Salary is used as a conservative proxy for output. Replace with your own.</t>
  </si>
  <si>
    <t xml:space="preserve">Paid hours per year</t>
  </si>
  <si>
    <t xml:space="preserve">hours</t>
  </si>
  <si>
    <t xml:space="preserve">Ch. 31: 2,080 paid hours a year ($100,000 / 2,080 = $48.08 an hour).</t>
  </si>
  <si>
    <t xml:space="preserve">Your headcount</t>
  </si>
  <si>
    <t xml:space="preserve">people</t>
  </si>
  <si>
    <t xml:space="preserve">Your organization. The book shows 10, 100 and 1,000 people; those columns are always shown on the Model sheet.</t>
  </si>
  <si>
    <t xml:space="preserve">Schedule</t>
  </si>
  <si>
    <t xml:space="preserve">Working days per year</t>
  </si>
  <si>
    <t xml:space="preserve">days</t>
  </si>
  <si>
    <t xml:space="preserve">Ch. 31: 230 working days.</t>
  </si>
  <si>
    <t xml:space="preserve">Office days per week under the current requirement</t>
  </si>
  <si>
    <t xml:space="preserve">days / week</t>
  </si>
  <si>
    <t xml:space="preserve">Ch. 31: the comparison is against a five-day office requirement.</t>
  </si>
  <si>
    <t xml:space="preserve">Home days per week in the hybrid design</t>
  </si>
  <si>
    <t xml:space="preserve">Ch. 31: two home days a week, the pattern in the Trip.com trial (2 of 5 x 230 = 92 home days).</t>
  </si>
  <si>
    <t xml:space="preserve">Recovered working time</t>
  </si>
  <si>
    <t xml:space="preserve">Commuting time saved per home day (round trip)</t>
  </si>
  <si>
    <t xml:space="preserve">minutes</t>
  </si>
  <si>
    <t xml:space="preserve">Ch. 31 / Ch. 3: cross-country estimate of ~72 minutes a day across 27 countries. US alternative: ~54 minutes (Census Bureau 2024, ~27 min one way) - see Sensitivities.</t>
  </si>
  <si>
    <t xml:space="preserve">Share of saved commuting time returned to work</t>
  </si>
  <si>
    <t xml:space="preserve">%</t>
  </si>
  <si>
    <t xml:space="preserve">Ch. 31 / Ch. 3: people report spending about 40% of saved commuting time on their primary or secondary jobs. The other 60% is the employee's (off-ledger column).</t>
  </si>
  <si>
    <t xml:space="preserve">Space</t>
  </si>
  <si>
    <t xml:space="preserve">Fully loaded cost per seat</t>
  </si>
  <si>
    <t xml:space="preserve">$ / month</t>
  </si>
  <si>
    <t xml:space="preserve">Ch. 31: author's working estimate of $500-$1,200 per employee per month (not a research finding); midpoint $850 = $10,200 a year. MDI's Phoenix figure was $1,000. Rent alone: ~$37.58 / sq ft (CBRE national average asking rent, mid-2026) x 150 sq ft = ~$5,600 a year.</t>
  </si>
  <si>
    <t xml:space="preserve">Seat reduction achievable</t>
  </si>
  <si>
    <t xml:space="preserve">% of seats</t>
  </si>
  <si>
    <t xml:space="preserve">Ch. 31: author assumption - coordinated anchor days let the organization carry seats for 75% of its people. Set to 0% if the lease cannot be released.</t>
  </si>
  <si>
    <t xml:space="preserve">Turnover</t>
  </si>
  <si>
    <t xml:space="preserve">Voluntary attrition under the current requirement</t>
  </si>
  <si>
    <t xml:space="preserve">% / year</t>
  </si>
  <si>
    <t xml:space="preserve">Ch. 31: author assumption, not a research figure - replace with your own.</t>
  </si>
  <si>
    <t xml:space="preserve">Voluntary attrition under the hybrid design</t>
  </si>
  <si>
    <t xml:space="preserve">Ch. 31: the Trip.com trial cut resignations by about a third (12% becomes 8%).</t>
  </si>
  <si>
    <t xml:space="preserve">Cost of a departure</t>
  </si>
  <si>
    <t xml:space="preserve">% of salary</t>
  </si>
  <si>
    <t xml:space="preserve">Ch. 31: bottom of the 50-200% of salary range for the cost of a departure (Gallup publishes a similar half-to-twice range). Trip.com's own estimate was ~$20,000 per quit in recruiting and training alone.</t>
  </si>
  <si>
    <t xml:space="preserve">Absence</t>
  </si>
  <si>
    <t xml:space="preserve">Unplanned absence days averted per employee</t>
  </si>
  <si>
    <t xml:space="preserve">days / year</t>
  </si>
  <si>
    <t xml:space="preserve">Ch. 31: author assumption; no trusted study found. The weakest and smallest line - strike it and the conclusion does not change.</t>
  </si>
  <si>
    <t xml:space="preserve">Hours per working day</t>
  </si>
  <si>
    <t xml:space="preserve">Ch. 31: one day = eight hours at the hourly rate.</t>
  </si>
  <si>
    <t xml:space="preserve">Collaboration</t>
  </si>
  <si>
    <t xml:space="preserve">Collaboration allowance</t>
  </si>
  <si>
    <t xml:space="preserve">Ch. 31: Trip.com managers' prediction, before the trial, that hybrid would cut productivity by 2.6%, charged in full as a deliberately unfavorable allowance. For an Alongside role the chapter uses 8% (low end of the 8-19% fall found by Gibbs, Mengel and Siemroth).</t>
  </si>
  <si>
    <t xml:space="preserve">New-hire ramp and mentoring</t>
  </si>
  <si>
    <t xml:space="preserve">Hiring rate (hires per employee per year)</t>
  </si>
  <si>
    <t xml:space="preserve">Ch. 31: at 8% attrition an organization hires eight people a year per hundred just to stand still. Keep this equal to the hybrid attrition rate.</t>
  </si>
  <si>
    <t xml:space="preserve">Extra weeks to full productivity when learning at a distance</t>
  </si>
  <si>
    <t xml:space="preserve">weeks</t>
  </si>
  <si>
    <t xml:space="preserve">Ch. 31: author assumption.</t>
  </si>
  <si>
    <t xml:space="preserve">Productivity lost during those extra weeks</t>
  </si>
  <si>
    <t xml:space="preserve">Ch. 31: author assumption - half productivity during that month (4/52 x $100,000 x 50% = $3,846).</t>
  </si>
  <si>
    <t xml:space="preserve">Scheduled mentor time per new hire</t>
  </si>
  <si>
    <t xml:space="preserve">hours / week</t>
  </si>
  <si>
    <t xml:space="preserve">Ch. 31: author assumption - a deliberate replacement for ambient learning.</t>
  </si>
  <si>
    <t xml:space="preserve">Mentoring period</t>
  </si>
  <si>
    <t xml:space="preserve">Ch. 31: author assumption - the new hire's first 26 weeks.</t>
  </si>
  <si>
    <t xml:space="preserve">Loaded senior (mentor) rate</t>
  </si>
  <si>
    <t xml:space="preserve">$ / hour</t>
  </si>
  <si>
    <t xml:space="preserve">Ch. 31: author assumption (2 x 26 x $75 = $3,900).</t>
  </si>
  <si>
    <t xml:space="preserve">Deliberate gatherings</t>
  </si>
  <si>
    <t xml:space="preserve">In-person weeks and travel</t>
  </si>
  <si>
    <t xml:space="preserve">$ / employee / year</t>
  </si>
  <si>
    <t xml:space="preserve">Ch. 31: illustrative figure. A single-site organization would undercut it; a global one may exceed it.</t>
  </si>
  <si>
    <t xml:space="preserve">Off-ledger (employee) column</t>
  </si>
  <si>
    <t xml:space="preserve">Employee's cost of an office day</t>
  </si>
  <si>
    <t xml:space="preserve">$ / office day</t>
  </si>
  <si>
    <t xml:space="preserve">Resume.io survey (reported by CPA Practice Advisor, 28 Sept 2026): $34.73 per office day (about 194 office days and $6,736 a year). Not in the employer's total.</t>
  </si>
  <si>
    <t xml:space="preserve">Model: The Business Case, Both Columns</t>
  </si>
  <si>
    <t xml:space="preserve">Per year. Each line is rounded to whole dollars per employee, then totalled and scaled, as in Chapter 31.</t>
  </si>
  <si>
    <t xml:space="preserve">Line (per year)</t>
  </si>
  <si>
    <t xml:space="preserve">Basis</t>
  </si>
  <si>
    <t xml:space="preserve">Per employee</t>
  </si>
  <si>
    <t xml:space="preserve">10 people</t>
  </si>
  <si>
    <t xml:space="preserve">100 people</t>
  </si>
  <si>
    <t xml:space="preserve">1,000 people</t>
  </si>
  <si>
    <t xml:space="preserve">The column that favors distance</t>
  </si>
  <si>
    <t xml:space="preserve">Recovered hours x hourly rate</t>
  </si>
  <si>
    <t xml:space="preserve">Annual seat cost x seat reduction</t>
  </si>
  <si>
    <t xml:space="preserve">Attrition points avoided x departure cost</t>
  </si>
  <si>
    <t xml:space="preserve">Days x hours per day x hourly rate</t>
  </si>
  <si>
    <t xml:space="preserve">Total favoring distance</t>
  </si>
  <si>
    <t xml:space="preserve">The column that favors the room</t>
  </si>
  <si>
    <t xml:space="preserve">Salary x collaboration allowance</t>
  </si>
  <si>
    <t xml:space="preserve">Cost per new hire x hiring rate</t>
  </si>
  <si>
    <t xml:space="preserve">Budget per employee</t>
  </si>
  <si>
    <t xml:space="preserve">Total favoring the room</t>
  </si>
  <si>
    <t xml:space="preserve">Net in favor of the hybrid design</t>
  </si>
  <si>
    <t xml:space="preserve">Total favoring distance - total favoring the room</t>
  </si>
  <si>
    <t xml:space="preserve">Net as a share of salary</t>
  </si>
  <si>
    <t xml:space="preserve">Departures avoided per year</t>
  </si>
  <si>
    <t xml:space="preserve">Attrition points avoided x people</t>
  </si>
  <si>
    <t xml:space="preserve">Off-ledger: the employee column (shown on the page, NOT in the total)</t>
  </si>
  <si>
    <t xml:space="preserve">Commuting hours avoided</t>
  </si>
  <si>
    <t xml:space="preserve">Home days x commute minutes / 60</t>
  </si>
  <si>
    <t xml:space="preserve">  of which returned to work (already in the employer column)</t>
  </si>
  <si>
    <t xml:space="preserve">x share returned to work</t>
  </si>
  <si>
    <t xml:space="preserve">  of which kept by the employee</t>
  </si>
  <si>
    <t xml:space="preserve">x (1 - share returned)</t>
  </si>
  <si>
    <t xml:space="preserve">Office-going costs the employee no longer pays</t>
  </si>
  <si>
    <t xml:space="preserve">Home days x cost per office day</t>
  </si>
  <si>
    <t xml:space="preserve">Hours in the employee rows are hours per year; the per-employee $ figure is $34.73 x 92 days at the defaults (about $3,195).</t>
  </si>
  <si>
    <t xml:space="preserve">Workings</t>
  </si>
  <si>
    <t xml:space="preserve">Hourly rate</t>
  </si>
  <si>
    <t xml:space="preserve">Salary / paid hours</t>
  </si>
  <si>
    <t xml:space="preserve">Home days per year</t>
  </si>
  <si>
    <t xml:space="preserve">Working days x home days / office days</t>
  </si>
  <si>
    <t xml:space="preserve">Recovered working minutes per home day</t>
  </si>
  <si>
    <t xml:space="preserve">Commute minutes x share returned</t>
  </si>
  <si>
    <t xml:space="preserve">Recovered working hours per year</t>
  </si>
  <si>
    <t xml:space="preserve">Home days x recovered minutes / 60</t>
  </si>
  <si>
    <t xml:space="preserve">Fully loaded seat cost per year</t>
  </si>
  <si>
    <t xml:space="preserve">Monthly seat cost x 12</t>
  </si>
  <si>
    <t xml:space="preserve">Attrition avoided (percentage points)</t>
  </si>
  <si>
    <t xml:space="preserve">Baseline - hybrid attrition</t>
  </si>
  <si>
    <t xml:space="preserve">Slower ramp cost per new hire</t>
  </si>
  <si>
    <t xml:space="preserve">Weeks / 52 x salary x productivity lost</t>
  </si>
  <si>
    <t xml:space="preserve">Scheduled mentoring cost per new hire</t>
  </si>
  <si>
    <t xml:space="preserve">Hours / week x weeks x mentor rate</t>
  </si>
  <si>
    <t xml:space="preserve">Total cost per new hire</t>
  </si>
  <si>
    <t xml:space="preserve">Ramp + mentoring</t>
  </si>
  <si>
    <t xml:space="preserve">Sensitivities</t>
  </si>
  <si>
    <t xml:space="preserve">One assumption changed at a time, everything else as on Inputs. Blue cells are the alternative values; change them to test your own.</t>
  </si>
  <si>
    <t xml:space="preserve">Case</t>
  </si>
  <si>
    <t xml:space="preserve">Alternative value</t>
  </si>
  <si>
    <t xml:space="preserve">Changed line becomes</t>
  </si>
  <si>
    <t xml:space="preserve">Net per employee</t>
  </si>
  <si>
    <t xml:space="preserve">Net for your headcount</t>
  </si>
  <si>
    <t xml:space="preserve">Chapter 31 figure (at defaults)</t>
  </si>
  <si>
    <t xml:space="preserve">Check</t>
  </si>
  <si>
    <t xml:space="preserve">Base case (all inputs as entered)</t>
  </si>
  <si>
    <t xml:space="preserve">-</t>
  </si>
  <si>
    <t xml:space="preserve">Strike both soft lines (recovered time and collaboration allowance)</t>
  </si>
  <si>
    <t xml:space="preserve">US average round trip instead of the 72-minute international average (minutes)</t>
  </si>
  <si>
    <t xml:space="preserve">Price a departure at a full year's salary (% of salary)</t>
  </si>
  <si>
    <t xml:space="preserve">Space cannot be released, e.g. lease runs on or too few seats to hand back (seat reduction)</t>
  </si>
  <si>
    <t xml:space="preserve">Alongside-zone role: collaboration charge at the low end of Gibbs, Mengel &amp; Siemroth's 8-19% (allowance)</t>
  </si>
  <si>
    <t xml:space="preserve">Strike the absence line (author's weakest assumption)</t>
  </si>
  <si>
    <t xml:space="preserve">Chapter says only that the conclusion does not change; $1,453 is from the chapter's source notes.</t>
  </si>
  <si>
    <t xml:space="preserve">Scale: what four points of attrition mean</t>
  </si>
  <si>
    <t xml:space="preserve">Organization size</t>
  </si>
  <si>
    <t xml:space="preserve">People</t>
  </si>
  <si>
    <t xml:space="preserve">Chapter 31 figure</t>
  </si>
  <si>
    <t xml:space="preserve">At ten people the turnover line is better read as a risk than a saving: 0.4 of a departure is one person every two and a half years.</t>
  </si>
  <si>
    <t xml:space="preserve">Checks against the chapter apply only at the default inputs; once you enter your own figures, 'Differs' is expected.</t>
  </si>
  <si>
    <t xml:space="preserve">Desk Cost: cost per occupied desk</t>
  </si>
  <si>
    <t xml:space="preserve">Chapters 1 and 2. The total cost of a space divided by the people who actually use it, not by the number of desks it was built to hold. Blue cells are inputs.</t>
  </si>
  <si>
    <t xml:space="preserve">Input</t>
  </si>
  <si>
    <t xml:space="preserve">The site</t>
  </si>
  <si>
    <t xml:space="preserve">Site or building</t>
  </si>
  <si>
    <t xml:space="preserve">Phoenix HQ (MDI, composite example)</t>
  </si>
  <si>
    <t xml:space="preserve">A label for your own reference.</t>
  </si>
  <si>
    <t xml:space="preserve">Number of workstations</t>
  </si>
  <si>
    <t xml:space="preserve">desks</t>
  </si>
  <si>
    <t xml:space="preserve">Ch. 1: MDI's four Phoenix floors held roughly 1,200 workstations.</t>
  </si>
  <si>
    <t xml:space="preserve">Which annual cost to use</t>
  </si>
  <si>
    <t xml:space="preserve">Entered total</t>
  </si>
  <si>
    <t xml:space="preserve">choose</t>
  </si>
  <si>
    <t xml:space="preserve">Pick 'Entered total' to use the figure below, or 'Built from rent' to use the rent build-up in the next section.</t>
  </si>
  <si>
    <t xml:space="preserve">Annual fully loaded cost of the space (entered total)</t>
  </si>
  <si>
    <t xml:space="preserve">Ch. 1: about $14.4 million a year for the Phoenix floors, including rent, utilities, cleaning, security, maintenance, furniture, and the network and desk equipment on every workstation. Use the figure your finance team builds from its own invoices.</t>
  </si>
  <si>
    <t xml:space="preserve">Or build the annual cost from rent</t>
  </si>
  <si>
    <t xml:space="preserve">Rent per square foot per year</t>
  </si>
  <si>
    <t xml:space="preserve">$ / sq ft / yr</t>
  </si>
  <si>
    <t xml:space="preserve">Ch. 2: about $37.58 a square foot a year (CBRE's national average asking rent, mid-2026). Replace with your lease rate.</t>
  </si>
  <si>
    <t xml:space="preserve">Square feet per seat</t>
  </si>
  <si>
    <t xml:space="preserve">sq ft</t>
  </si>
  <si>
    <t xml:space="preserve">Ch. 2: the author's planning figure of about 150 sq ft per person, once a share of meeting rooms, corridors, kitchens and reception is included.</t>
  </si>
  <si>
    <t xml:space="preserve">Other fully loaded costs per seat (utilities, cleaning, security, maintenance, insurance, furniture, network and desk equipment, facilities staff)</t>
  </si>
  <si>
    <t xml:space="preserve">$ / seat / yr</t>
  </si>
  <si>
    <t xml:space="preserve">Workbook assumption, not a figure from the book. Ch. 2 says these costs 'can easily double the rent'; at the defaults this build-up gives about $11,600 a seat, close to MDI's $12,000. Use your own invoices.</t>
  </si>
  <si>
    <t xml:space="preserve">Rent per seat per year</t>
  </si>
  <si>
    <t xml:space="preserve">Rent x square feet per seat.</t>
  </si>
  <si>
    <t xml:space="preserve">Fully loaded cost per seat per year (built up)</t>
  </si>
  <si>
    <t xml:space="preserve">Rent per seat + other costs.</t>
  </si>
  <si>
    <t xml:space="preserve">Annual cost of the space (built up)</t>
  </si>
  <si>
    <t xml:space="preserve">Per-seat cost x workstations.</t>
  </si>
  <si>
    <t xml:space="preserve">Occupancy by weekday (share of workstations occupied on an ordinary day)</t>
  </si>
  <si>
    <t xml:space="preserve">Monday</t>
  </si>
  <si>
    <t xml:space="preserve">% of desks</t>
  </si>
  <si>
    <t xml:space="preserve">Ch. 1: 'a little under' half (the Phoenix badge data, adjusted for tailgating and the garage entrance).</t>
  </si>
  <si>
    <t xml:space="preserve">Tuesday</t>
  </si>
  <si>
    <t xml:space="preserve">Ch. 1: the busiest day, about 60%.</t>
  </si>
  <si>
    <t xml:space="preserve">Wednesday</t>
  </si>
  <si>
    <t xml:space="preserve">Ch. 1: close behind at about 55%.</t>
  </si>
  <si>
    <t xml:space="preserve">Thursday</t>
  </si>
  <si>
    <t xml:space="preserve">Ch. 1: around half.</t>
  </si>
  <si>
    <t xml:space="preserve">Friday</t>
  </si>
  <si>
    <t xml:space="preserve">Ch. 1: roughly 20%.</t>
  </si>
  <si>
    <t xml:space="preserve">Buffer above the busiest day</t>
  </si>
  <si>
    <t xml:space="preserve">% extra seats</t>
  </si>
  <si>
    <t xml:space="preserve">Workbook assumption, not a figure from the book: headroom for visitors, growth and an unusually busy day. Set your own.</t>
  </si>
  <si>
    <t xml:space="preserve">Lease</t>
  </si>
  <si>
    <t xml:space="preserve">Lease renewal (or break) date</t>
  </si>
  <si>
    <t xml:space="preserve">date</t>
  </si>
  <si>
    <t xml:space="preserve">Illustrative date. In the book, MDI's Phoenix lease was due for renewal nine months after the board meeting. Enter your own renewal, expiry or break date.</t>
  </si>
  <si>
    <t xml:space="preserve">Term offered at renewal</t>
  </si>
  <si>
    <t xml:space="preserve">years</t>
  </si>
  <si>
    <t xml:space="preserve">Ch. 1 / Introduction: the landlord proposed a ten-year extension.</t>
  </si>
  <si>
    <t xml:space="preserve">Seats you could release at the renewal date</t>
  </si>
  <si>
    <t xml:space="preserve">MDI's decision (Ch. 36): renew two of the four floors and give the other two back, about 600 workstations if the floors are equal. Enter what your lease actually lets you hand back.</t>
  </si>
  <si>
    <t xml:space="preserve">Result</t>
  </si>
  <si>
    <t xml:space="preserve">How it is calculated</t>
  </si>
  <si>
    <t xml:space="preserve">Cost per desk and cost per occupied desk</t>
  </si>
  <si>
    <t xml:space="preserve">Annual cost used</t>
  </si>
  <si>
    <t xml:space="preserve">The entered total, or the rent build-up if you chose it.</t>
  </si>
  <si>
    <t xml:space="preserve">Cost per desk</t>
  </si>
  <si>
    <t xml:space="preserve">$ / desk / yr</t>
  </si>
  <si>
    <t xml:space="preserve">Annual cost / workstations. The number a facilities budget usually shows.</t>
  </si>
  <si>
    <t xml:space="preserve">Average occupancy</t>
  </si>
  <si>
    <t xml:space="preserve">Average of the five weekdays.</t>
  </si>
  <si>
    <t xml:space="preserve">People present on an average day</t>
  </si>
  <si>
    <t xml:space="preserve">Workstations x average occupancy.</t>
  </si>
  <si>
    <t xml:space="preserve">Cost per occupied desk (average day)</t>
  </si>
  <si>
    <t xml:space="preserve">$ / occupied desk / yr</t>
  </si>
  <si>
    <t xml:space="preserve">Annual cost / people present on an average day. At MDI's figures, just over $26,000.</t>
  </si>
  <si>
    <t xml:space="preserve">By weekday</t>
  </si>
  <si>
    <t xml:space="preserve">Occupancy</t>
  </si>
  <si>
    <t xml:space="preserve">People present</t>
  </si>
  <si>
    <t xml:space="preserve">Cost per occupied desk if every day were like this one ($ / yr)</t>
  </si>
  <si>
    <t xml:space="preserve">The busiest day sets how much space you need; the quietest shows what you pay for that nobody uses (Ch. 35).</t>
  </si>
  <si>
    <t xml:space="preserve">Busiest and quietest days</t>
  </si>
  <si>
    <t xml:space="preserve">Busiest day</t>
  </si>
  <si>
    <t xml:space="preserve">The weekday with the highest occupancy.</t>
  </si>
  <si>
    <t xml:space="preserve">Peak-day occupancy</t>
  </si>
  <si>
    <t xml:space="preserve">Highest of the five weekdays.</t>
  </si>
  <si>
    <t xml:space="preserve">People present on the busiest day</t>
  </si>
  <si>
    <t xml:space="preserve">Quietest day</t>
  </si>
  <si>
    <t xml:space="preserve">Quietest-day occupancy</t>
  </si>
  <si>
    <t xml:space="preserve">Cost per occupied desk: quietest day vs busiest day</t>
  </si>
  <si>
    <t xml:space="preserve">times</t>
  </si>
  <si>
    <t xml:space="preserve">Ch. 1: on a Friday each occupied seat cost MDI three times what it cost on a Tuesday.</t>
  </si>
  <si>
    <t xml:space="preserve">Sizing the space to the busiest day</t>
  </si>
  <si>
    <t xml:space="preserve">Seats needed for the busiest day plus buffer</t>
  </si>
  <si>
    <t xml:space="preserve">Workstations x peak-day occupancy x (1 + buffer). Space has to be provisioned for the peak, not the average (Ch. 1).</t>
  </si>
  <si>
    <t xml:space="preserve">Seats beyond what the busiest day needs</t>
  </si>
  <si>
    <t xml:space="preserve">Workstations - seats needed.</t>
  </si>
  <si>
    <t xml:space="preserve">Annual saving if the space were sized to the busiest day</t>
  </si>
  <si>
    <t xml:space="preserve">Surplus seats x cost per desk. Assumes cost falls in proportion to seats; in practice space is released in floors or blocks, so treat it as the upper bound of what sizing to peak is worth.</t>
  </si>
  <si>
    <t xml:space="preserve">The same saving over the term offered at renewal</t>
  </si>
  <si>
    <t xml:space="preserve">$ over term</t>
  </si>
  <si>
    <t xml:space="preserve">Annual saving x term. Undiscounted and without rent escalation: a rough sense of what renewing every square foot commits you to.</t>
  </si>
  <si>
    <t xml:space="preserve">Your release plan (seats you could release)</t>
  </si>
  <si>
    <t xml:space="preserve">Seats remaining after the release</t>
  </si>
  <si>
    <t xml:space="preserve">Workstations - seats released.</t>
  </si>
  <si>
    <t xml:space="preserve">Annual saving from the release</t>
  </si>
  <si>
    <t xml:space="preserve">Seats released x cost per desk (same proportionality caveat as above).</t>
  </si>
  <si>
    <t xml:space="preserve">Seats short on the busiest day (including buffer)</t>
  </si>
  <si>
    <t xml:space="preserve">Seats needed for the busiest day plus buffer - seats remaining.</t>
  </si>
  <si>
    <t xml:space="preserve">Highest daily occupancy the remaining seats can carry</t>
  </si>
  <si>
    <t xml:space="preserve">% of today's desks</t>
  </si>
  <si>
    <t xml:space="preserve">As a share of today's workstations, after the buffer. Coordinated anchor days have to keep every day at or below this.</t>
  </si>
  <si>
    <t xml:space="preserve">What the release plan means</t>
  </si>
  <si>
    <t xml:space="preserve">Cost per occupied desk after the release (average day)</t>
  </si>
  <si>
    <t xml:space="preserve">Remaining annual cost / people present on an average day, assuming attendance stays the same.</t>
  </si>
  <si>
    <t xml:space="preserve">Lease timing (recalculates from today's date each time the file is opened)</t>
  </si>
  <si>
    <t xml:space="preserve">Today</t>
  </si>
  <si>
    <t xml:space="preserve">Your computer's date.</t>
  </si>
  <si>
    <t xml:space="preserve">Months to the renewal date (remaining term of the current lease)</t>
  </si>
  <si>
    <t xml:space="preserve">months</t>
  </si>
  <si>
    <t xml:space="preserve">Whole months from today to the renewal date.</t>
  </si>
  <si>
    <t xml:space="preserve">Status</t>
  </si>
  <si>
    <t xml:space="preserve">Check against the book (default inputs only)</t>
  </si>
  <si>
    <t xml:space="preserve">Book figure</t>
  </si>
  <si>
    <t xml:space="preserve">$12,000</t>
  </si>
  <si>
    <t xml:space="preserve">46%</t>
  </si>
  <si>
    <t xml:space="preserve">just over $26,000</t>
  </si>
  <si>
    <t xml:space="preserve">People on the busiest day (Tuesday)</t>
  </si>
  <si>
    <t xml:space="preserve">about 720</t>
  </si>
  <si>
    <t xml:space="preserve">People on the quietest day (Friday)</t>
  </si>
  <si>
    <t xml:space="preserve">roughly 240</t>
  </si>
  <si>
    <t xml:space="preserve">Friday cost per occupied seat vs Tuesday</t>
  </si>
  <si>
    <t xml:space="preserve">three times</t>
  </si>
  <si>
    <t xml:space="preserve">Once you enter your own figures, 'Differs from book default' is expected.</t>
  </si>
  <si>
    <t xml:space="preserve">Scenarios: policies side by side</t>
  </si>
  <si>
    <t xml:space="preserve">Each policy priced per employee per year against a fully on-site baseline, with the Model's logic. Blue = this scenario's own assumption. Green = linked to Inputs (the Chapter 31 figures); overwrite only if you mean to depart from them.</t>
  </si>
  <si>
    <t xml:space="preserve">Line (per employee per year)</t>
  </si>
  <si>
    <t xml:space="preserve">Fully on site</t>
  </si>
  <si>
    <t xml:space="preserve">3 days, your choice</t>
  </si>
  <si>
    <t xml:space="preserve">3 fixed anchor days</t>
  </si>
  <si>
    <t xml:space="preserve">Tighter mandate</t>
  </si>
  <si>
    <t xml:space="preserve">Fully remote (Anywhere roles only)</t>
  </si>
  <si>
    <t xml:space="preserve">Note</t>
  </si>
  <si>
    <t xml:space="preserve">Policy</t>
  </si>
  <si>
    <t xml:space="preserve">0 home days</t>
  </si>
  <si>
    <t xml:space="preserve">2 home days, uncoordinated</t>
  </si>
  <si>
    <t xml:space="preserve">2 home days, coordinated</t>
  </si>
  <si>
    <t xml:space="preserve">1 home day</t>
  </si>
  <si>
    <t xml:space="preserve">5 home days</t>
  </si>
  <si>
    <t xml:space="preserve">Scenario assumptions</t>
  </si>
  <si>
    <t xml:space="preserve">Home days per week</t>
  </si>
  <si>
    <t xml:space="preserve">of a five-day week</t>
  </si>
  <si>
    <t xml:space="preserve">Defines each policy. Office days = 5 minus home days (5 is the Inputs sheet's office-day baseline).</t>
  </si>
  <si>
    <t xml:space="preserve">% of seats you can actually give back</t>
  </si>
  <si>
    <t xml:space="preserve">Anchor days: Ch. 31's 25% (coordinated days let you carry seats for 75% of people). 'Your choice': workbook assumption of 15%, because chosen days cluster on the same mid-week days (Ch. 1, Ch. 16); check your own peak on the Desk Cost sheet. Tighter mandate: workbook assumption. Fully remote: workbook assumption of 80% (keeping some space for gatherings). Set any scenario to 0% if your lease cannot be released.</t>
  </si>
  <si>
    <t xml:space="preserve">Voluntary attrition under this policy</t>
  </si>
  <si>
    <t xml:space="preserve">% per year</t>
  </si>
  <si>
    <t xml:space="preserve">Baseline 12% is the author's assumption for a five-day requirement; 8% is the Trip.com trial's one-third cut with two home days (Ch. 8, 31). Note that the trial tested fixed shared days, not chosen ones (Ch. 16). Tighter mandate: workbook assumption, halfway. Fully remote: no further fall assumed. Also used as the hiring rate for the new-hire line.</t>
  </si>
  <si>
    <t xml:space="preserve">Unplanned absence days averted</t>
  </si>
  <si>
    <t xml:space="preserve">days / employee / year</t>
  </si>
  <si>
    <t xml:space="preserve">Ch. 31: author's assumption of one day; no trusted study. Tighter mandate: workbook assumption of half a day.</t>
  </si>
  <si>
    <t xml:space="preserve">Ch. 31 charges 2.6% (Trip.com managers' own pessimistic prediction) for two home days. Tighter mandate: workbook assumption of half that. Fully remote Anywhere roles: Ch. 31 says the charge 'may be close to zero'. If the roles are not truly Anywhere roles, Gibbs, Mengel and Siemroth found an 8-19% productivity fall when a large IT services firm went fully home.</t>
  </si>
  <si>
    <t xml:space="preserve">Extra collaboration loss from uncoordinated days</t>
  </si>
  <si>
    <t xml:space="preserve">% of salary (you set it)</t>
  </si>
  <si>
    <t xml:space="preserve">The book argues (Ch. 16) that 'three days, your choice' consistently fails: people come in to be with particular colleagues, and chosen days do not guarantee they will be there, so much of the collaboration the office days were meant to buy is lost. It gives no figure. The 1.3% default (half the Ch. 31 allowance again) is a workbook placeholder; set your own for any scenario.</t>
  </si>
  <si>
    <t xml:space="preserve">Share of the new-hire ramp and mentoring cost that applies</t>
  </si>
  <si>
    <t xml:space="preserve">% of the Ch. 31 cost per new hire</t>
  </si>
  <si>
    <t xml:space="preserve">Ch. 31: four slower weeks at half productivity plus 26 weeks of scheduled mentoring ($7,746 per new hire), charged when learning happens at a distance. On site: none. Tighter mandate: workbook assumption of half.</t>
  </si>
  <si>
    <t xml:space="preserve">Ch. 31: $2,000, illustrative. Tighter mandate: workbook assumption of half. Fully remote: workbook assumption of $3,000, since every relationship-forming moment has to be organized on purpose.</t>
  </si>
  <si>
    <t xml:space="preserve">People this policy would cover</t>
  </si>
  <si>
    <t xml:space="preserve">headcount</t>
  </si>
  <si>
    <t xml:space="preserve">Defaults to your headcount on Inputs. For the fully remote column, enter only the people in roles placed in the Anywhere zone.</t>
  </si>
  <si>
    <t xml:space="preserve">Office days per week</t>
  </si>
  <si>
    <t xml:space="preserve">baseline office days - home days</t>
  </si>
  <si>
    <t xml:space="preserve">working days x home days / 5</t>
  </si>
  <si>
    <t xml:space="preserve">home days x commute x share returned / 60</t>
  </si>
  <si>
    <t xml:space="preserve">The column that favors distance (compared with fully on site)</t>
  </si>
  <si>
    <t xml:space="preserve">recovered hours x hourly rate</t>
  </si>
  <si>
    <t xml:space="preserve">annual seat cost x seat reduction</t>
  </si>
  <si>
    <t xml:space="preserve">(baseline - this policy's attrition) x departure cost</t>
  </si>
  <si>
    <t xml:space="preserve">days x hours per day x hourly rate</t>
  </si>
  <si>
    <t xml:space="preserve">salary x allowance</t>
  </si>
  <si>
    <t xml:space="preserve">salary x extra loss</t>
  </si>
  <si>
    <t xml:space="preserve">cost per new hire x hiring rate (= attrition) x share</t>
  </si>
  <si>
    <t xml:space="preserve">budget per employee</t>
  </si>
  <si>
    <t xml:space="preserve">Net in favor of this policy, vs fully on site</t>
  </si>
  <si>
    <t xml:space="preserve">per employee per year</t>
  </si>
  <si>
    <t xml:space="preserve">Net for the people this policy covers</t>
  </si>
  <si>
    <t xml:space="preserve">net x people covered</t>
  </si>
  <si>
    <t xml:space="preserve">Difference from '3 fixed anchor days'</t>
  </si>
  <si>
    <t xml:space="preserve">per employee</t>
  </si>
  <si>
    <t xml:space="preserve">Off-ledger: the employee column (shown, NOT in the totals)</t>
  </si>
  <si>
    <t xml:space="preserve">Commuting hours kept by the employee</t>
  </si>
  <si>
    <t xml:space="preserve">home days x commute x (1 - share returned) / 60</t>
  </si>
  <si>
    <t xml:space="preserve">home days x cost per office day</t>
  </si>
  <si>
    <t xml:space="preserve">Check: '3 fixed anchor days' column vs the Model sheet (Chapter 31: $1,838 at the defaults)</t>
  </si>
  <si>
    <t xml:space="preserve">The anchor-day column uses the same inputs as the Model sheet, so it should always match it (unless you overwrite a green cell or set the hiring rate on Inputs away from hybrid attrition). It matches the book only at the default inputs.</t>
  </si>
  <si>
    <t xml:space="preserve">Check: 'Fully on site' is the baseline, so its net should be zero</t>
  </si>
  <si>
    <t xml:space="preserve">Reading the scenarios</t>
  </si>
  <si>
    <t xml:space="preserve">The baseline every other column is measured against: five office days, no seats released, attrition at the Inputs baseline. Its net is zero by construction.</t>
  </si>
  <si>
    <t xml:space="preserve">The policy Chapter 16 says fails consistently: people come in to be with particular colleagues, and chosen days do not guarantee they will be there, so a 'collaboration day' can arrive with no one to collaborate with. It also clusters attendance on the same mid-week days, which limits the seats you can release (Ch. 1). The extra-loss line and the lower seat reduction are where that argument enters the arithmetic; the book gives no figure for either, so set your own.</t>
  </si>
  <si>
    <t xml:space="preserve">Two home days with coordinated, purpose-stated anchor days (Ch. 16): the design Chapter 31 prices. At the defaults it reproduces the chapter's net of $1,838 per employee.</t>
  </si>
  <si>
    <t xml:space="preserve">One home day. The book gives no figures for this policy; every blue number in its column is a workbook assumption placed between the on-site and two-home-day cases. Chapter 32 reports a study of more than three million tech and finance workers in which average turnover rose about 14% after a return-to-office mandate, with the heaviest losses among women, senior staff and the most skilled (Ding, Ma and co-authors); use your own data where you have it.</t>
  </si>
  <si>
    <t xml:space="preserve">Only for roles genuinely placed in the Anywhere zone (low interdependence, low tacit learning; Ch. 15). Its large default result comes mostly from the 80% seat-reduction assumption: set it to 0% if the space cannot be released and see what remains. For any role that is not truly an Anywhere role, raise the collaboration allowance, and ask who needs to overhear this person.</t>
  </si>
  <si>
    <t xml:space="preserve">Rounding</t>
  </si>
  <si>
    <t xml:space="preserve">As on the Model sheet, each line is rounded to whole dollars per employee before it is totalled.</t>
  </si>
</sst>
</file>

<file path=xl/styles.xml><?xml version="1.0" encoding="utf-8"?>
<styleSheet xmlns="http://schemas.openxmlformats.org/spreadsheetml/2006/main">
  <numFmts count="11">
    <numFmt numFmtId="164" formatCode="General"/>
    <numFmt numFmtId="165" formatCode="\$#,##0;[RED]&quot;-$&quot;#,##0"/>
    <numFmt numFmtId="166" formatCode="#,##0"/>
    <numFmt numFmtId="167" formatCode="0%"/>
    <numFmt numFmtId="168" formatCode="#,##0.0"/>
    <numFmt numFmtId="169" formatCode="0.0%"/>
    <numFmt numFmtId="170" formatCode="\$#,##0.00;[RED]&quot;-$&quot;#,##0.00"/>
    <numFmt numFmtId="171" formatCode="#,##0.00"/>
    <numFmt numFmtId="172" formatCode="@"/>
    <numFmt numFmtId="173" formatCode="d\ mmm\ yyyy"/>
    <numFmt numFmtId="174" formatCode="0.0\x"/>
  </numFmts>
  <fonts count="14">
    <font>
      <sz val="11"/>
      <color theme="1"/>
      <name val="Calibri"/>
      <family val="2"/>
      <charset val="1"/>
    </font>
    <font>
      <sz val="10"/>
      <name val="Arial"/>
      <family val="0"/>
    </font>
    <font>
      <sz val="10"/>
      <name val="Arial"/>
      <family val="0"/>
    </font>
    <font>
      <sz val="10"/>
      <name val="Arial"/>
      <family val="0"/>
    </font>
    <font>
      <b val="true"/>
      <sz val="16"/>
      <color rgb="FF1F3A5F"/>
      <name val="Calibri"/>
      <family val="0"/>
      <charset val="1"/>
    </font>
    <font>
      <i val="true"/>
      <sz val="10"/>
      <color rgb="FF555555"/>
      <name val="Calibri"/>
      <family val="0"/>
      <charset val="1"/>
    </font>
    <font>
      <b val="true"/>
      <sz val="11"/>
      <name val="Calibri"/>
      <family val="0"/>
      <charset val="1"/>
    </font>
    <font>
      <sz val="11"/>
      <name val="Calibri"/>
      <family val="0"/>
      <charset val="1"/>
    </font>
    <font>
      <b val="true"/>
      <sz val="11"/>
      <color rgb="FFFFFFFF"/>
      <name val="Calibri"/>
      <family val="0"/>
      <charset val="1"/>
    </font>
    <font>
      <b val="true"/>
      <sz val="11"/>
      <color rgb="FF0000FF"/>
      <name val="Calibri"/>
      <family val="0"/>
      <charset val="1"/>
    </font>
    <font>
      <sz val="10"/>
      <name val="Calibri"/>
      <family val="0"/>
      <charset val="1"/>
    </font>
    <font>
      <b val="true"/>
      <sz val="12"/>
      <name val="Calibri"/>
      <family val="0"/>
      <charset val="1"/>
    </font>
    <font>
      <i val="true"/>
      <sz val="9"/>
      <color rgb="FF555555"/>
      <name val="Calibri"/>
      <family val="0"/>
      <charset val="1"/>
    </font>
    <font>
      <b val="true"/>
      <sz val="11"/>
      <color rgb="FF00703C"/>
      <name val="Calibri"/>
      <family val="0"/>
      <charset val="1"/>
    </font>
  </fonts>
  <fills count="9">
    <fill>
      <patternFill patternType="none"/>
    </fill>
    <fill>
      <patternFill patternType="gray125"/>
    </fill>
    <fill>
      <patternFill patternType="solid">
        <fgColor rgb="FF1F3A5F"/>
        <bgColor rgb="FF333333"/>
      </patternFill>
    </fill>
    <fill>
      <patternFill patternType="solid">
        <fgColor rgb="FFDCE6F1"/>
        <bgColor rgb="FFD9EAD3"/>
      </patternFill>
    </fill>
    <fill>
      <patternFill patternType="solid">
        <fgColor rgb="FFFFF9E5"/>
        <bgColor rgb="FFFFFFFF"/>
      </patternFill>
    </fill>
    <fill>
      <patternFill patternType="solid">
        <fgColor rgb="FFEEF2F7"/>
        <bgColor rgb="FFEAF5EA"/>
      </patternFill>
    </fill>
    <fill>
      <patternFill patternType="solid">
        <fgColor rgb="FFD9EAD3"/>
        <bgColor rgb="FFDCE6F1"/>
      </patternFill>
    </fill>
    <fill>
      <patternFill patternType="solid">
        <fgColor rgb="FFFCE5CD"/>
        <bgColor rgb="FFFFF9E5"/>
      </patternFill>
    </fill>
    <fill>
      <patternFill patternType="solid">
        <fgColor rgb="FFEAF5EA"/>
        <bgColor rgb="FFEEF2F7"/>
      </patternFill>
    </fill>
  </fills>
  <borders count="4">
    <border diagonalUp="false" diagonalDown="false">
      <left/>
      <right/>
      <top/>
      <bottom/>
      <diagonal/>
    </border>
    <border diagonalUp="false" diagonalDown="false">
      <left style="thin">
        <color rgb="FFB7B7B7"/>
      </left>
      <right style="thin">
        <color rgb="FFB7B7B7"/>
      </right>
      <top style="thin">
        <color rgb="FFB7B7B7"/>
      </top>
      <bottom style="thin">
        <color rgb="FFB7B7B7"/>
      </bottom>
      <diagonal/>
    </border>
    <border diagonalUp="false" diagonalDown="false">
      <left/>
      <right/>
      <top style="thin"/>
      <bottom/>
      <diagonal/>
    </border>
    <border diagonalUp="false" diagonalDown="false">
      <left/>
      <right/>
      <top style="thin"/>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9" fillId="4"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1"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6" fontId="9" fillId="4" borderId="1" xfId="0" applyFont="true" applyBorder="true" applyAlignment="true" applyProtection="false">
      <alignment horizontal="general" vertical="center" textRotation="0" wrapText="false" indent="0" shrinkToFit="false"/>
      <protection locked="true" hidden="false"/>
    </xf>
    <xf numFmtId="167" fontId="9" fillId="4" borderId="1" xfId="0" applyFont="true" applyBorder="true" applyAlignment="true" applyProtection="false">
      <alignment horizontal="general" vertical="center" textRotation="0" wrapText="false" indent="0" shrinkToFit="false"/>
      <protection locked="true" hidden="false"/>
    </xf>
    <xf numFmtId="168" fontId="9" fillId="4" borderId="1" xfId="0" applyFont="true" applyBorder="true" applyAlignment="true" applyProtection="false">
      <alignment horizontal="general" vertical="center" textRotation="0" wrapText="false" indent="0" shrinkToFit="false"/>
      <protection locked="true" hidden="false"/>
    </xf>
    <xf numFmtId="169" fontId="9" fillId="4" borderId="1" xfId="0" applyFont="true" applyBorder="true" applyAlignment="true" applyProtection="false">
      <alignment horizontal="general" vertical="center" textRotation="0" wrapText="false" indent="0" shrinkToFit="false"/>
      <protection locked="true" hidden="false"/>
    </xf>
    <xf numFmtId="170" fontId="9" fillId="4"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0" fillId="5" borderId="2" xfId="0" applyFont="false" applyBorder="true" applyAlignment="false" applyProtection="false">
      <alignment horizontal="general" vertical="bottom" textRotation="0" wrapText="false" indent="0" shrinkToFit="false"/>
      <protection locked="true" hidden="false"/>
    </xf>
    <xf numFmtId="165" fontId="6" fillId="5" borderId="2" xfId="0" applyFont="true" applyBorder="true" applyAlignment="false" applyProtection="false">
      <alignment horizontal="general" vertical="bottom" textRotation="0" wrapText="false" indent="0" shrinkToFit="false"/>
      <protection locked="true" hidden="false"/>
    </xf>
    <xf numFmtId="164" fontId="11" fillId="6" borderId="3" xfId="0" applyFont="true" applyBorder="true" applyAlignment="false" applyProtection="false">
      <alignment horizontal="general" vertical="bottom" textRotation="0" wrapText="false" indent="0" shrinkToFit="false"/>
      <protection locked="true" hidden="false"/>
    </xf>
    <xf numFmtId="164" fontId="5" fillId="6" borderId="3" xfId="0" applyFont="true" applyBorder="true" applyAlignment="false" applyProtection="false">
      <alignment horizontal="general" vertical="bottom" textRotation="0" wrapText="false" indent="0" shrinkToFit="false"/>
      <protection locked="true" hidden="false"/>
    </xf>
    <xf numFmtId="165" fontId="11" fillId="6" borderId="3" xfId="0" applyFont="true" applyBorder="tru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4" fontId="6" fillId="7" borderId="0" xfId="0" applyFont="tru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5" fontId="6" fillId="0" borderId="0" xfId="0" applyFont="true" applyBorder="false" applyAlignment="true" applyProtection="false">
      <alignment horizontal="general" vertical="center" textRotation="0" wrapText="false" indent="0" shrinkToFit="false"/>
      <protection locked="true" hidden="false"/>
    </xf>
    <xf numFmtId="165" fontId="0" fillId="0" borderId="0" xfId="0" applyFont="false" applyBorder="false" applyAlignment="true" applyProtection="false">
      <alignment horizontal="general" vertical="center" textRotation="0" wrapText="false" indent="0" shrinkToFit="false"/>
      <protection locked="true" hidden="false"/>
    </xf>
    <xf numFmtId="165"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72" fontId="9" fillId="4" borderId="1" xfId="0" applyFont="true" applyBorder="true" applyAlignment="true" applyProtection="false">
      <alignment horizontal="general" vertical="center" textRotation="0" wrapText="true" indent="0" shrinkToFit="false"/>
      <protection locked="true" hidden="false"/>
    </xf>
    <xf numFmtId="172" fontId="9" fillId="4" borderId="1" xfId="0" applyFont="true" applyBorder="true" applyAlignment="true" applyProtection="false">
      <alignment horizontal="general" vertical="center" textRotation="0" wrapText="false" indent="0" shrinkToFit="false"/>
      <protection locked="true" hidden="false"/>
    </xf>
    <xf numFmtId="165" fontId="7"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73" fontId="9" fillId="4" borderId="1" xfId="0" applyFont="true" applyBorder="true" applyAlignment="true" applyProtection="false">
      <alignment horizontal="general" vertical="center" textRotation="0" wrapText="false" indent="0" shrinkToFit="false"/>
      <protection locked="true" hidden="false"/>
    </xf>
    <xf numFmtId="169" fontId="7" fillId="0" borderId="0" xfId="0" applyFont="true" applyBorder="false" applyAlignment="true" applyProtection="false">
      <alignment horizontal="general" vertical="center" textRotation="0" wrapText="false" indent="0" shrinkToFit="false"/>
      <protection locked="true" hidden="false"/>
    </xf>
    <xf numFmtId="166" fontId="7" fillId="0" borderId="0" xfId="0" applyFont="true" applyBorder="false" applyAlignment="true" applyProtection="false">
      <alignment horizontal="general" vertical="center" textRotation="0" wrapText="false" indent="0" shrinkToFit="false"/>
      <protection locked="true" hidden="false"/>
    </xf>
    <xf numFmtId="164" fontId="6" fillId="6" borderId="0" xfId="0" applyFont="true" applyBorder="false" applyAlignment="true" applyProtection="false">
      <alignment horizontal="general" vertical="center" textRotation="0" wrapText="true" indent="0" shrinkToFit="false"/>
      <protection locked="true" hidden="false"/>
    </xf>
    <xf numFmtId="165" fontId="6" fillId="6" borderId="0" xfId="0" applyFont="true" applyBorder="false" applyAlignment="true" applyProtection="false">
      <alignment horizontal="general" vertical="center" textRotation="0" wrapText="false" indent="0" shrinkToFit="false"/>
      <protection locked="true" hidden="false"/>
    </xf>
    <xf numFmtId="164" fontId="7" fillId="6" borderId="0" xfId="0" applyFont="true" applyBorder="false" applyAlignment="true" applyProtection="false">
      <alignment horizontal="general" vertical="center" textRotation="0" wrapText="false" indent="1" shrinkToFit="false"/>
      <protection locked="true" hidden="false"/>
    </xf>
    <xf numFmtId="164" fontId="5" fillId="6" borderId="0" xfId="0" applyFont="true" applyBorder="false" applyAlignment="true" applyProtection="false">
      <alignment horizontal="general" vertical="center"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center" vertical="bottom" textRotation="0" wrapText="false" indent="0" shrinkToFit="false"/>
      <protection locked="true" hidden="false"/>
    </xf>
    <xf numFmtId="165" fontId="0" fillId="0" borderId="0" xfId="0" applyFont="false" applyBorder="false" applyAlignment="true" applyProtection="false">
      <alignment horizontal="left" vertical="bottom" textRotation="0" wrapText="false" indent="1"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true" applyProtection="false">
      <alignment horizontal="general" vertical="center" textRotation="0" wrapText="false" indent="0" shrinkToFit="false"/>
      <protection locked="true" hidden="false"/>
    </xf>
    <xf numFmtId="167" fontId="7" fillId="0" borderId="0" xfId="0" applyFont="true" applyBorder="false" applyAlignment="true" applyProtection="false">
      <alignment horizontal="general" vertical="center" textRotation="0" wrapText="false" indent="0" shrinkToFit="false"/>
      <protection locked="true" hidden="false"/>
    </xf>
    <xf numFmtId="174" fontId="7" fillId="0" borderId="0" xfId="0" applyFont="true" applyBorder="false" applyAlignment="true" applyProtection="false">
      <alignment horizontal="general" vertical="center" textRotation="0" wrapText="false" indent="0" shrinkToFit="false"/>
      <protection locked="true" hidden="false"/>
    </xf>
    <xf numFmtId="164" fontId="6" fillId="5" borderId="0" xfId="0" applyFont="true" applyBorder="false" applyAlignment="true" applyProtection="false">
      <alignment horizontal="general" vertical="center" textRotation="0" wrapText="true" indent="0" shrinkToFit="false"/>
      <protection locked="true" hidden="false"/>
    </xf>
    <xf numFmtId="165" fontId="6" fillId="5" borderId="0" xfId="0" applyFont="true" applyBorder="false" applyAlignment="true" applyProtection="false">
      <alignment horizontal="general" vertical="center" textRotation="0" wrapText="false" indent="0" shrinkToFit="false"/>
      <protection locked="true" hidden="false"/>
    </xf>
    <xf numFmtId="164" fontId="7" fillId="5" borderId="0" xfId="0" applyFont="true" applyBorder="false" applyAlignment="true" applyProtection="false">
      <alignment horizontal="general" vertical="center" textRotation="0" wrapText="false" indent="1" shrinkToFit="false"/>
      <protection locked="true" hidden="false"/>
    </xf>
    <xf numFmtId="164" fontId="5" fillId="5" borderId="0" xfId="0" applyFont="true" applyBorder="false" applyAlignment="true" applyProtection="false">
      <alignment horizontal="general" vertical="center" textRotation="0" wrapText="true" indent="0" shrinkToFit="false"/>
      <protection locked="true" hidden="false"/>
    </xf>
    <xf numFmtId="172" fontId="7" fillId="0" borderId="0" xfId="0" applyFont="true" applyBorder="true" applyAlignment="true" applyProtection="false">
      <alignment horizontal="general" vertical="center" textRotation="0" wrapText="true" indent="0" shrinkToFit="false"/>
      <protection locked="true" hidden="false"/>
    </xf>
    <xf numFmtId="173" fontId="7" fillId="0" borderId="0" xfId="0" applyFont="true" applyBorder="false" applyAlignment="true" applyProtection="false">
      <alignment horizontal="general" vertical="center" textRotation="0" wrapText="false" indent="0" shrinkToFit="false"/>
      <protection locked="true" hidden="false"/>
    </xf>
    <xf numFmtId="166" fontId="6" fillId="5" borderId="0" xfId="0" applyFont="true" applyBorder="false" applyAlignment="true" applyProtection="false">
      <alignment horizontal="general" vertical="center"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2"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6" fontId="9" fillId="4" borderId="1" xfId="0" applyFont="true" applyBorder="true" applyAlignment="true" applyProtection="false">
      <alignment horizontal="right" vertical="center" textRotation="0" wrapText="false" indent="0" shrinkToFit="false"/>
      <protection locked="true" hidden="false"/>
    </xf>
    <xf numFmtId="167" fontId="9" fillId="4" borderId="1" xfId="0" applyFont="true" applyBorder="true" applyAlignment="true" applyProtection="false">
      <alignment horizontal="right" vertical="center" textRotation="0" wrapText="false" indent="0" shrinkToFit="false"/>
      <protection locked="true" hidden="false"/>
    </xf>
    <xf numFmtId="167" fontId="13" fillId="8" borderId="1" xfId="0" applyFont="true" applyBorder="true" applyAlignment="true" applyProtection="false">
      <alignment horizontal="right" vertical="center" textRotation="0" wrapText="false" indent="0" shrinkToFit="false"/>
      <protection locked="true" hidden="false"/>
    </xf>
    <xf numFmtId="168" fontId="9" fillId="4" borderId="1" xfId="0" applyFont="true" applyBorder="true" applyAlignment="true" applyProtection="false">
      <alignment horizontal="right" vertical="center" textRotation="0" wrapText="false" indent="0" shrinkToFit="false"/>
      <protection locked="true" hidden="false"/>
    </xf>
    <xf numFmtId="168" fontId="13" fillId="8" borderId="1" xfId="0" applyFont="true" applyBorder="true" applyAlignment="true" applyProtection="false">
      <alignment horizontal="right" vertical="center" textRotation="0" wrapText="false" indent="0" shrinkToFit="false"/>
      <protection locked="true" hidden="false"/>
    </xf>
    <xf numFmtId="169" fontId="9" fillId="4" borderId="1" xfId="0" applyFont="true" applyBorder="true" applyAlignment="true" applyProtection="false">
      <alignment horizontal="right" vertical="center" textRotation="0" wrapText="false" indent="0" shrinkToFit="false"/>
      <protection locked="true" hidden="false"/>
    </xf>
    <xf numFmtId="169" fontId="13" fillId="8" borderId="1" xfId="0" applyFont="true" applyBorder="true" applyAlignment="true" applyProtection="false">
      <alignment horizontal="right" vertical="center" textRotation="0" wrapText="false" indent="0" shrinkToFit="false"/>
      <protection locked="true" hidden="false"/>
    </xf>
    <xf numFmtId="165" fontId="9" fillId="4" borderId="1" xfId="0" applyFont="true" applyBorder="true" applyAlignment="true" applyProtection="false">
      <alignment horizontal="right" vertical="center" textRotation="0" wrapText="false" indent="0" shrinkToFit="false"/>
      <protection locked="true" hidden="false"/>
    </xf>
    <xf numFmtId="165" fontId="13" fillId="8" borderId="1" xfId="0" applyFont="true" applyBorder="true" applyAlignment="true" applyProtection="false">
      <alignment horizontal="right" vertical="center" textRotation="0" wrapText="false" indent="0" shrinkToFit="false"/>
      <protection locked="true" hidden="false"/>
    </xf>
    <xf numFmtId="166" fontId="13" fillId="8" borderId="1" xfId="0" applyFont="true" applyBorder="true" applyAlignment="true" applyProtection="false">
      <alignment horizontal="right" vertical="center" textRotation="0" wrapText="false" indent="0" shrinkToFit="false"/>
      <protection locked="true" hidden="false"/>
    </xf>
    <xf numFmtId="164" fontId="6" fillId="5" borderId="2" xfId="0" applyFont="true" applyBorder="true" applyAlignment="true" applyProtection="false">
      <alignment horizontal="general" vertical="center" textRotation="0" wrapText="true" indent="0" shrinkToFit="false"/>
      <protection locked="true" hidden="false"/>
    </xf>
    <xf numFmtId="164" fontId="5" fillId="5" borderId="2" xfId="0" applyFont="true" applyBorder="true" applyAlignment="true" applyProtection="false">
      <alignment horizontal="general" vertical="center" textRotation="0" wrapText="true" indent="0" shrinkToFit="false"/>
      <protection locked="true" hidden="false"/>
    </xf>
    <xf numFmtId="164" fontId="11" fillId="6" borderId="3" xfId="0" applyFont="true" applyBorder="true" applyAlignment="true" applyProtection="false">
      <alignment horizontal="general" vertical="center" textRotation="0" wrapText="true" indent="0" shrinkToFit="false"/>
      <protection locked="true" hidden="false"/>
    </xf>
    <xf numFmtId="164" fontId="5" fillId="6" borderId="3" xfId="0" applyFont="true" applyBorder="true" applyAlignment="true" applyProtection="false">
      <alignment horizontal="general" vertical="center" textRotation="0" wrapText="true" indent="0" shrinkToFit="false"/>
      <protection locked="true" hidden="false"/>
    </xf>
    <xf numFmtId="164" fontId="0" fillId="6" borderId="3" xfId="0" applyFont="fals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703C"/>
      <rgbColor rgb="FF000080"/>
      <rgbColor rgb="FF808000"/>
      <rgbColor rgb="FF800080"/>
      <rgbColor rgb="FF008080"/>
      <rgbColor rgb="FFB7B7B7"/>
      <rgbColor rgb="FF808080"/>
      <rgbColor rgb="FF9999FF"/>
      <rgbColor rgb="FF993366"/>
      <rgbColor rgb="FFFFF9E5"/>
      <rgbColor rgb="FFEAF5EA"/>
      <rgbColor rgb="FF660066"/>
      <rgbColor rgb="FFFF8080"/>
      <rgbColor rgb="FF0066CC"/>
      <rgbColor rgb="FFDCE6F1"/>
      <rgbColor rgb="FF000080"/>
      <rgbColor rgb="FFFF00FF"/>
      <rgbColor rgb="FFFFFF00"/>
      <rgbColor rgb="FF00FFFF"/>
      <rgbColor rgb="FF800080"/>
      <rgbColor rgb="FF800000"/>
      <rgbColor rgb="FF008080"/>
      <rgbColor rgb="FF0000FF"/>
      <rgbColor rgb="FF00CCFF"/>
      <rgbColor rgb="FFEEF2F7"/>
      <rgbColor rgb="FFD9EAD3"/>
      <rgbColor rgb="FFFFFF99"/>
      <rgbColor rgb="FF99CCFF"/>
      <rgbColor rgb="FFFF99CC"/>
      <rgbColor rgb="FFCC99FF"/>
      <rgbColor rgb="FFFCE5CD"/>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0"/>
  </cols>
  <sheetData>
    <row r="1" customFormat="false" ht="19.7" hidden="false" customHeight="false" outlineLevel="0" collapsed="false">
      <c r="A1" s="1" t="s">
        <v>0</v>
      </c>
    </row>
    <row r="2" customFormat="false" ht="15" hidden="false" customHeight="false" outlineLevel="0" collapsed="false">
      <c r="A2" s="2" t="s">
        <v>1</v>
      </c>
    </row>
    <row r="4" customFormat="false" ht="48" hidden="false" customHeight="true" outlineLevel="0" collapsed="false">
      <c r="A4" s="3" t="s">
        <v>2</v>
      </c>
      <c r="B4" s="4" t="s">
        <v>3</v>
      </c>
    </row>
    <row r="5" customFormat="false" ht="48" hidden="false" customHeight="true" outlineLevel="0" collapsed="false">
      <c r="A5" s="3" t="s">
        <v>4</v>
      </c>
      <c r="B5" s="4" t="s">
        <v>5</v>
      </c>
    </row>
    <row r="6" customFormat="false" ht="48" hidden="false" customHeight="true" outlineLevel="0" collapsed="false">
      <c r="A6" s="3" t="s">
        <v>6</v>
      </c>
      <c r="B6" s="4" t="s">
        <v>7</v>
      </c>
    </row>
    <row r="7" customFormat="false" ht="48" hidden="false" customHeight="true" outlineLevel="0" collapsed="false">
      <c r="A7" s="3" t="s">
        <v>8</v>
      </c>
      <c r="B7" s="4" t="s">
        <v>9</v>
      </c>
    </row>
    <row r="8" customFormat="false" ht="78" hidden="false" customHeight="true" outlineLevel="0" collapsed="false">
      <c r="A8" s="3" t="s">
        <v>10</v>
      </c>
      <c r="B8" s="4" t="s">
        <v>11</v>
      </c>
    </row>
    <row r="9" customFormat="false" ht="78" hidden="false" customHeight="true" outlineLevel="0" collapsed="false">
      <c r="A9" s="3" t="s">
        <v>12</v>
      </c>
      <c r="B9" s="4" t="s">
        <v>13</v>
      </c>
    </row>
    <row r="10" customFormat="false" ht="48" hidden="false" customHeight="true" outlineLevel="0" collapsed="false">
      <c r="A10" s="3" t="s">
        <v>14</v>
      </c>
      <c r="B10" s="4" t="s">
        <v>15</v>
      </c>
    </row>
    <row r="11" customFormat="false" ht="48" hidden="false" customHeight="true" outlineLevel="0" collapsed="false">
      <c r="A11" s="3" t="s">
        <v>16</v>
      </c>
      <c r="B11" s="4" t="s">
        <v>17</v>
      </c>
    </row>
    <row r="12" customFormat="false" ht="78" hidden="false" customHeight="true" outlineLevel="0" collapsed="false">
      <c r="A12" s="3" t="s">
        <v>18</v>
      </c>
      <c r="B12" s="4" t="s">
        <v>19</v>
      </c>
    </row>
    <row r="14" customFormat="false" ht="15" hidden="false" customHeight="false" outlineLevel="0" collapsed="false">
      <c r="A14" s="2"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Footer>&amp;L&amp;8© 2026 John S. Muir  ·  Free to use within your organization&amp;R&amp;8www.invisibleleadershipseries.com/visibility-trap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6"/>
    <col collapsed="false" customWidth="true" hidden="false" outlineLevel="0" max="3" min="3" style="0" width="14"/>
    <col collapsed="false" customWidth="true" hidden="false" outlineLevel="0" max="4" min="4" style="0" width="18"/>
    <col collapsed="false" customWidth="true" hidden="false" outlineLevel="0" max="5" min="5" style="0" width="80"/>
  </cols>
  <sheetData>
    <row r="1" customFormat="false" ht="19.7" hidden="false" customHeight="false" outlineLevel="0" collapsed="false">
      <c r="A1" s="1" t="s">
        <v>21</v>
      </c>
    </row>
    <row r="2" customFormat="false" ht="15" hidden="false" customHeight="false" outlineLevel="0" collapsed="false">
      <c r="A2" s="2" t="s">
        <v>22</v>
      </c>
    </row>
    <row r="4" customFormat="false" ht="15" hidden="false" customHeight="false" outlineLevel="0" collapsed="false">
      <c r="A4" s="5" t="s">
        <v>23</v>
      </c>
      <c r="B4" s="5" t="s">
        <v>24</v>
      </c>
      <c r="C4" s="5" t="s">
        <v>25</v>
      </c>
      <c r="D4" s="5" t="s">
        <v>26</v>
      </c>
      <c r="E4" s="5" t="s">
        <v>27</v>
      </c>
    </row>
    <row r="5" customFormat="false" ht="15" hidden="false" customHeight="false" outlineLevel="0" collapsed="false">
      <c r="A5" s="6" t="s">
        <v>28</v>
      </c>
      <c r="B5" s="7"/>
      <c r="C5" s="7"/>
      <c r="D5" s="7"/>
      <c r="E5" s="7"/>
    </row>
    <row r="6" customFormat="false" ht="42" hidden="false" customHeight="true" outlineLevel="0" collapsed="false">
      <c r="B6" s="4" t="s">
        <v>29</v>
      </c>
      <c r="C6" s="8" t="n">
        <v>100000</v>
      </c>
      <c r="D6" s="9" t="s">
        <v>30</v>
      </c>
      <c r="E6" s="10" t="s">
        <v>31</v>
      </c>
    </row>
    <row r="7" customFormat="false" ht="19.5" hidden="false" customHeight="true" outlineLevel="0" collapsed="false">
      <c r="B7" s="4" t="s">
        <v>32</v>
      </c>
      <c r="C7" s="11" t="n">
        <v>2080</v>
      </c>
      <c r="D7" s="9" t="s">
        <v>33</v>
      </c>
      <c r="E7" s="10" t="s">
        <v>34</v>
      </c>
    </row>
    <row r="8" customFormat="false" ht="27.75" hidden="false" customHeight="true" outlineLevel="0" collapsed="false">
      <c r="B8" s="4" t="s">
        <v>35</v>
      </c>
      <c r="C8" s="11" t="n">
        <v>100</v>
      </c>
      <c r="D8" s="9" t="s">
        <v>36</v>
      </c>
      <c r="E8" s="10" t="s">
        <v>37</v>
      </c>
    </row>
    <row r="9" customFormat="false" ht="15" hidden="false" customHeight="false" outlineLevel="0" collapsed="false">
      <c r="A9" s="6" t="s">
        <v>38</v>
      </c>
      <c r="B9" s="7"/>
      <c r="C9" s="7"/>
      <c r="D9" s="7"/>
      <c r="E9" s="7"/>
    </row>
    <row r="10" customFormat="false" ht="19.5" hidden="false" customHeight="true" outlineLevel="0" collapsed="false">
      <c r="B10" s="4" t="s">
        <v>39</v>
      </c>
      <c r="C10" s="11" t="n">
        <v>230</v>
      </c>
      <c r="D10" s="9" t="s">
        <v>40</v>
      </c>
      <c r="E10" s="10" t="s">
        <v>41</v>
      </c>
    </row>
    <row r="11" customFormat="false" ht="19.5" hidden="false" customHeight="true" outlineLevel="0" collapsed="false">
      <c r="B11" s="4" t="s">
        <v>42</v>
      </c>
      <c r="C11" s="11" t="n">
        <v>5</v>
      </c>
      <c r="D11" s="9" t="s">
        <v>43</v>
      </c>
      <c r="E11" s="10" t="s">
        <v>44</v>
      </c>
    </row>
    <row r="12" customFormat="false" ht="19.5" hidden="false" customHeight="true" outlineLevel="0" collapsed="false">
      <c r="B12" s="4" t="s">
        <v>45</v>
      </c>
      <c r="C12" s="11" t="n">
        <v>2</v>
      </c>
      <c r="D12" s="9" t="s">
        <v>43</v>
      </c>
      <c r="E12" s="10" t="s">
        <v>46</v>
      </c>
    </row>
    <row r="13" customFormat="false" ht="15" hidden="false" customHeight="false" outlineLevel="0" collapsed="false">
      <c r="A13" s="6" t="s">
        <v>47</v>
      </c>
      <c r="B13" s="7"/>
      <c r="C13" s="7"/>
      <c r="D13" s="7"/>
      <c r="E13" s="7"/>
    </row>
    <row r="14" customFormat="false" ht="27.75" hidden="false" customHeight="true" outlineLevel="0" collapsed="false">
      <c r="B14" s="4" t="s">
        <v>48</v>
      </c>
      <c r="C14" s="11" t="n">
        <v>72</v>
      </c>
      <c r="D14" s="9" t="s">
        <v>49</v>
      </c>
      <c r="E14" s="10" t="s">
        <v>50</v>
      </c>
    </row>
    <row r="15" customFormat="false" ht="27.75" hidden="false" customHeight="true" outlineLevel="0" collapsed="false">
      <c r="B15" s="4" t="s">
        <v>51</v>
      </c>
      <c r="C15" s="12" t="n">
        <v>0.4</v>
      </c>
      <c r="D15" s="9" t="s">
        <v>52</v>
      </c>
      <c r="E15" s="10" t="s">
        <v>53</v>
      </c>
    </row>
    <row r="16" customFormat="false" ht="15" hidden="false" customHeight="false" outlineLevel="0" collapsed="false">
      <c r="A16" s="6" t="s">
        <v>54</v>
      </c>
      <c r="B16" s="7"/>
      <c r="C16" s="7"/>
      <c r="D16" s="7"/>
      <c r="E16" s="7"/>
    </row>
    <row r="17" customFormat="false" ht="42" hidden="false" customHeight="true" outlineLevel="0" collapsed="false">
      <c r="B17" s="4" t="s">
        <v>55</v>
      </c>
      <c r="C17" s="8" t="n">
        <v>850</v>
      </c>
      <c r="D17" s="9" t="s">
        <v>56</v>
      </c>
      <c r="E17" s="10" t="s">
        <v>57</v>
      </c>
    </row>
    <row r="18" customFormat="false" ht="27.75" hidden="false" customHeight="true" outlineLevel="0" collapsed="false">
      <c r="B18" s="4" t="s">
        <v>58</v>
      </c>
      <c r="C18" s="12" t="n">
        <v>0.25</v>
      </c>
      <c r="D18" s="9" t="s">
        <v>59</v>
      </c>
      <c r="E18" s="10" t="s">
        <v>60</v>
      </c>
    </row>
    <row r="19" customFormat="false" ht="15" hidden="false" customHeight="false" outlineLevel="0" collapsed="false">
      <c r="A19" s="6" t="s">
        <v>61</v>
      </c>
      <c r="B19" s="7"/>
      <c r="C19" s="7"/>
      <c r="D19" s="7"/>
      <c r="E19" s="7"/>
    </row>
    <row r="20" customFormat="false" ht="19.5" hidden="false" customHeight="true" outlineLevel="0" collapsed="false">
      <c r="B20" s="4" t="s">
        <v>62</v>
      </c>
      <c r="C20" s="12" t="n">
        <v>0.12</v>
      </c>
      <c r="D20" s="9" t="s">
        <v>63</v>
      </c>
      <c r="E20" s="10" t="s">
        <v>64</v>
      </c>
    </row>
    <row r="21" customFormat="false" ht="19.5" hidden="false" customHeight="true" outlineLevel="0" collapsed="false">
      <c r="B21" s="4" t="s">
        <v>65</v>
      </c>
      <c r="C21" s="12" t="n">
        <v>0.08</v>
      </c>
      <c r="D21" s="9" t="s">
        <v>63</v>
      </c>
      <c r="E21" s="10" t="s">
        <v>66</v>
      </c>
    </row>
    <row r="22" customFormat="false" ht="42" hidden="false" customHeight="true" outlineLevel="0" collapsed="false">
      <c r="B22" s="4" t="s">
        <v>67</v>
      </c>
      <c r="C22" s="12" t="n">
        <v>0.5</v>
      </c>
      <c r="D22" s="9" t="s">
        <v>68</v>
      </c>
      <c r="E22" s="10" t="s">
        <v>69</v>
      </c>
    </row>
    <row r="23" customFormat="false" ht="15" hidden="false" customHeight="false" outlineLevel="0" collapsed="false">
      <c r="A23" s="6" t="s">
        <v>70</v>
      </c>
      <c r="B23" s="7"/>
      <c r="C23" s="7"/>
      <c r="D23" s="7"/>
      <c r="E23" s="7"/>
    </row>
    <row r="24" customFormat="false" ht="27.75" hidden="false" customHeight="true" outlineLevel="0" collapsed="false">
      <c r="B24" s="4" t="s">
        <v>71</v>
      </c>
      <c r="C24" s="13" t="n">
        <v>1</v>
      </c>
      <c r="D24" s="9" t="s">
        <v>72</v>
      </c>
      <c r="E24" s="10" t="s">
        <v>73</v>
      </c>
    </row>
    <row r="25" customFormat="false" ht="19.5" hidden="false" customHeight="true" outlineLevel="0" collapsed="false">
      <c r="B25" s="4" t="s">
        <v>74</v>
      </c>
      <c r="C25" s="11" t="n">
        <v>8</v>
      </c>
      <c r="D25" s="9" t="s">
        <v>33</v>
      </c>
      <c r="E25" s="10" t="s">
        <v>75</v>
      </c>
    </row>
    <row r="26" customFormat="false" ht="15" hidden="false" customHeight="false" outlineLevel="0" collapsed="false">
      <c r="A26" s="6" t="s">
        <v>76</v>
      </c>
      <c r="B26" s="7"/>
      <c r="C26" s="7"/>
      <c r="D26" s="7"/>
      <c r="E26" s="7"/>
    </row>
    <row r="27" customFormat="false" ht="42" hidden="false" customHeight="true" outlineLevel="0" collapsed="false">
      <c r="B27" s="4" t="s">
        <v>77</v>
      </c>
      <c r="C27" s="14" t="n">
        <v>0.026</v>
      </c>
      <c r="D27" s="9" t="s">
        <v>68</v>
      </c>
      <c r="E27" s="10" t="s">
        <v>78</v>
      </c>
    </row>
    <row r="28" customFormat="false" ht="15" hidden="false" customHeight="false" outlineLevel="0" collapsed="false">
      <c r="A28" s="6" t="s">
        <v>79</v>
      </c>
      <c r="B28" s="7"/>
      <c r="C28" s="7"/>
      <c r="D28" s="7"/>
      <c r="E28" s="7"/>
    </row>
    <row r="29" customFormat="false" ht="27.75" hidden="false" customHeight="true" outlineLevel="0" collapsed="false">
      <c r="B29" s="4" t="s">
        <v>80</v>
      </c>
      <c r="C29" s="12" t="n">
        <v>0.08</v>
      </c>
      <c r="D29" s="9" t="s">
        <v>63</v>
      </c>
      <c r="E29" s="10" t="s">
        <v>81</v>
      </c>
    </row>
    <row r="30" customFormat="false" ht="19.5" hidden="false" customHeight="true" outlineLevel="0" collapsed="false">
      <c r="B30" s="4" t="s">
        <v>82</v>
      </c>
      <c r="C30" s="11" t="n">
        <v>4</v>
      </c>
      <c r="D30" s="9" t="s">
        <v>83</v>
      </c>
      <c r="E30" s="10" t="s">
        <v>84</v>
      </c>
    </row>
    <row r="31" customFormat="false" ht="27.75" hidden="false" customHeight="true" outlineLevel="0" collapsed="false">
      <c r="B31" s="4" t="s">
        <v>85</v>
      </c>
      <c r="C31" s="12" t="n">
        <v>0.5</v>
      </c>
      <c r="D31" s="9" t="s">
        <v>52</v>
      </c>
      <c r="E31" s="10" t="s">
        <v>86</v>
      </c>
    </row>
    <row r="32" customFormat="false" ht="19.5" hidden="false" customHeight="true" outlineLevel="0" collapsed="false">
      <c r="B32" s="4" t="s">
        <v>87</v>
      </c>
      <c r="C32" s="11" t="n">
        <v>2</v>
      </c>
      <c r="D32" s="9" t="s">
        <v>88</v>
      </c>
      <c r="E32" s="10" t="s">
        <v>89</v>
      </c>
    </row>
    <row r="33" customFormat="false" ht="19.5" hidden="false" customHeight="true" outlineLevel="0" collapsed="false">
      <c r="B33" s="4" t="s">
        <v>90</v>
      </c>
      <c r="C33" s="11" t="n">
        <v>26</v>
      </c>
      <c r="D33" s="9" t="s">
        <v>83</v>
      </c>
      <c r="E33" s="10" t="s">
        <v>91</v>
      </c>
    </row>
    <row r="34" customFormat="false" ht="19.5" hidden="false" customHeight="true" outlineLevel="0" collapsed="false">
      <c r="B34" s="4" t="s">
        <v>92</v>
      </c>
      <c r="C34" s="8" t="n">
        <v>75</v>
      </c>
      <c r="D34" s="9" t="s">
        <v>93</v>
      </c>
      <c r="E34" s="10" t="s">
        <v>94</v>
      </c>
    </row>
    <row r="35" customFormat="false" ht="15" hidden="false" customHeight="false" outlineLevel="0" collapsed="false">
      <c r="A35" s="6" t="s">
        <v>95</v>
      </c>
      <c r="B35" s="7"/>
      <c r="C35" s="7"/>
      <c r="D35" s="7"/>
      <c r="E35" s="7"/>
    </row>
    <row r="36" customFormat="false" ht="27.75" hidden="false" customHeight="true" outlineLevel="0" collapsed="false">
      <c r="B36" s="4" t="s">
        <v>96</v>
      </c>
      <c r="C36" s="8" t="n">
        <v>2000</v>
      </c>
      <c r="D36" s="9" t="s">
        <v>97</v>
      </c>
      <c r="E36" s="10" t="s">
        <v>98</v>
      </c>
    </row>
    <row r="37" customFormat="false" ht="15" hidden="false" customHeight="false" outlineLevel="0" collapsed="false">
      <c r="A37" s="6" t="s">
        <v>99</v>
      </c>
      <c r="B37" s="7"/>
      <c r="C37" s="7"/>
      <c r="D37" s="7"/>
      <c r="E37" s="7"/>
    </row>
    <row r="38" customFormat="false" ht="27.75" hidden="false" customHeight="true" outlineLevel="0" collapsed="false">
      <c r="B38" s="4" t="s">
        <v>100</v>
      </c>
      <c r="C38" s="15" t="n">
        <v>34.73</v>
      </c>
      <c r="D38" s="9" t="s">
        <v>101</v>
      </c>
      <c r="E38" s="10" t="s">
        <v>102</v>
      </c>
    </row>
    <row r="40" customFormat="false" ht="15" hidden="false" customHeight="false" outlineLevel="0" collapsed="false">
      <c r="A40" s="2" t="s">
        <v>20</v>
      </c>
    </row>
  </sheetData>
  <dataValidations count="1">
    <dataValidation allowBlank="false" error="Enter a percentage between 0% and 500%." errorStyle="stop" errorTitle="Check value" operator="between" showDropDown="false" showErrorMessage="true" showInputMessage="false" sqref="C15 C18 C20:C22 C27 C29 C31" type="decimal">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Footer>&amp;L&amp;8© 2026 John S. Muir  ·  Free to use within your organization&amp;R&amp;8www.invisibleleadershipseries.com/visibility-trap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40"/>
    <col collapsed="false" customWidth="true" hidden="false" outlineLevel="0" max="6" min="3" style="0" width="16"/>
    <col collapsed="false" customWidth="true" hidden="false" outlineLevel="0" max="7" min="7" style="0" width="20"/>
  </cols>
  <sheetData>
    <row r="1" customFormat="false" ht="19.7" hidden="false" customHeight="false" outlineLevel="0" collapsed="false">
      <c r="A1" s="1" t="s">
        <v>103</v>
      </c>
    </row>
    <row r="2" customFormat="false" ht="15" hidden="false" customHeight="false" outlineLevel="0" collapsed="false">
      <c r="A2" s="2" t="s">
        <v>104</v>
      </c>
    </row>
    <row r="4" customFormat="false" ht="15" hidden="false" customHeight="false" outlineLevel="0" collapsed="false">
      <c r="A4" s="5" t="s">
        <v>105</v>
      </c>
      <c r="B4" s="5" t="s">
        <v>106</v>
      </c>
      <c r="C4" s="5" t="s">
        <v>107</v>
      </c>
      <c r="D4" s="5" t="s">
        <v>108</v>
      </c>
      <c r="E4" s="5" t="s">
        <v>109</v>
      </c>
      <c r="F4" s="5" t="s">
        <v>110</v>
      </c>
      <c r="G4" s="5" t="str">
        <f aca="false">"Your headcount ("&amp;TEXT(Headcount,"#,##0")&amp;")"</f>
        <v>Your headcount (100)</v>
      </c>
    </row>
    <row r="5" customFormat="false" ht="15" hidden="false" customHeight="false" outlineLevel="0" collapsed="false">
      <c r="A5" s="6" t="s">
        <v>111</v>
      </c>
      <c r="B5" s="7"/>
      <c r="C5" s="7"/>
      <c r="D5" s="7"/>
      <c r="E5" s="7"/>
      <c r="F5" s="7"/>
      <c r="G5" s="7"/>
    </row>
    <row r="6" customFormat="false" ht="15" hidden="false" customHeight="false" outlineLevel="0" collapsed="false">
      <c r="A6" s="16" t="str">
        <f aca="false">"Recovered working time ("&amp;TEXT(ShareReturned,"0%")&amp;" of "&amp;CommuteMin&amp;" min, "&amp;TEXT(HomeDays,"0")&amp;" days)"</f>
        <v>Recovered working time (40% of 72 min, 92 days)</v>
      </c>
      <c r="B6" s="2" t="s">
        <v>112</v>
      </c>
      <c r="C6" s="17" t="n">
        <f aca="false">ROUND(RecoveredHours*HourlyRate,0)</f>
        <v>2123</v>
      </c>
      <c r="D6" s="17" t="n">
        <f aca="false">C6*10</f>
        <v>21230</v>
      </c>
      <c r="E6" s="17" t="n">
        <f aca="false">C6*100</f>
        <v>212300</v>
      </c>
      <c r="F6" s="17" t="n">
        <f aca="false">C6*1000</f>
        <v>2123000</v>
      </c>
      <c r="G6" s="17" t="n">
        <f aca="false">C6*Headcount</f>
        <v>212300</v>
      </c>
    </row>
    <row r="7" customFormat="false" ht="15" hidden="false" customHeight="false" outlineLevel="0" collapsed="false">
      <c r="A7" s="16" t="str">
        <f aca="false">"Space ("&amp;TEXT(SeatReduction,"0%")&amp;" fewer seats at "&amp;TEXT(SeatCostYear,"$#,##0")&amp;")"</f>
        <v>Space (25% fewer seats at $10,200)</v>
      </c>
      <c r="B7" s="2" t="s">
        <v>113</v>
      </c>
      <c r="C7" s="17" t="n">
        <f aca="false">ROUND(SeatCostYear*SeatReduction,0)</f>
        <v>2550</v>
      </c>
      <c r="D7" s="17" t="n">
        <f aca="false">C7*10</f>
        <v>25500</v>
      </c>
      <c r="E7" s="17" t="n">
        <f aca="false">C7*100</f>
        <v>255000</v>
      </c>
      <c r="F7" s="17" t="n">
        <f aca="false">C7*1000</f>
        <v>2550000</v>
      </c>
      <c r="G7" s="17" t="n">
        <f aca="false">C7*Headcount</f>
        <v>255000</v>
      </c>
    </row>
    <row r="8" customFormat="false" ht="15" hidden="false" customHeight="false" outlineLevel="0" collapsed="false">
      <c r="A8" s="16" t="str">
        <f aca="false">"Turnover ("&amp;TEXT(AttrBase,"0%")&amp;" to "&amp;TEXT(AttrHybrid,"0%")&amp;", at "&amp;TEXT(Salary*DepartureCost,"$#,##0")&amp;")"</f>
        <v>Turnover (12% to 8%, at $50,000)</v>
      </c>
      <c r="B8" s="2" t="s">
        <v>114</v>
      </c>
      <c r="C8" s="17" t="n">
        <f aca="false">ROUND(AttrPointsAvoided*Salary*DepartureCost,0)</f>
        <v>2000</v>
      </c>
      <c r="D8" s="17" t="n">
        <f aca="false">C8*10</f>
        <v>20000</v>
      </c>
      <c r="E8" s="17" t="n">
        <f aca="false">C8*100</f>
        <v>200000</v>
      </c>
      <c r="F8" s="17" t="n">
        <f aca="false">C8*1000</f>
        <v>2000000</v>
      </c>
      <c r="G8" s="17" t="n">
        <f aca="false">C8*Headcount</f>
        <v>200000</v>
      </c>
    </row>
    <row r="9" customFormat="false" ht="15" hidden="false" customHeight="false" outlineLevel="0" collapsed="false">
      <c r="A9" s="16" t="str">
        <f aca="false">"Absence ("&amp;AbsenceDays&amp;IF(AbsenceDays=1," day"," days")&amp;", author assumption)"</f>
        <v>Absence (1 day, author assumption)</v>
      </c>
      <c r="B9" s="2" t="s">
        <v>115</v>
      </c>
      <c r="C9" s="17" t="n">
        <f aca="false">ROUND(AbsenceDays*HoursPerDay*HourlyRate,0)</f>
        <v>385</v>
      </c>
      <c r="D9" s="17" t="n">
        <f aca="false">C9*10</f>
        <v>3850</v>
      </c>
      <c r="E9" s="17" t="n">
        <f aca="false">C9*100</f>
        <v>38500</v>
      </c>
      <c r="F9" s="17" t="n">
        <f aca="false">C9*1000</f>
        <v>385000</v>
      </c>
      <c r="G9" s="17" t="n">
        <f aca="false">C9*Headcount</f>
        <v>38500</v>
      </c>
    </row>
    <row r="10" customFormat="false" ht="15" hidden="false" customHeight="false" outlineLevel="0" collapsed="false">
      <c r="A10" s="18" t="s">
        <v>116</v>
      </c>
      <c r="B10" s="19"/>
      <c r="C10" s="20" t="n">
        <f aca="false">SUM(C6:C9)</f>
        <v>7058</v>
      </c>
      <c r="D10" s="20" t="n">
        <f aca="false">C10*10</f>
        <v>70580</v>
      </c>
      <c r="E10" s="20" t="n">
        <f aca="false">C10*100</f>
        <v>705800</v>
      </c>
      <c r="F10" s="20" t="n">
        <f aca="false">C10*1000</f>
        <v>7058000</v>
      </c>
      <c r="G10" s="20" t="n">
        <f aca="false">C10*Headcount</f>
        <v>705800</v>
      </c>
    </row>
    <row r="12" customFormat="false" ht="15" hidden="false" customHeight="false" outlineLevel="0" collapsed="false">
      <c r="A12" s="6" t="s">
        <v>117</v>
      </c>
      <c r="B12" s="7"/>
      <c r="C12" s="7"/>
      <c r="D12" s="7"/>
      <c r="E12" s="7"/>
      <c r="F12" s="7"/>
      <c r="G12" s="7"/>
    </row>
    <row r="13" customFormat="false" ht="15" hidden="false" customHeight="false" outlineLevel="0" collapsed="false">
      <c r="A13" s="16" t="str">
        <f aca="false">"Collaboration allowance ("&amp;TEXT(CollabPct,"0.0%")&amp;")"</f>
        <v>Collaboration allowance (2.6%)</v>
      </c>
      <c r="B13" s="2" t="s">
        <v>118</v>
      </c>
      <c r="C13" s="17" t="n">
        <f aca="false">ROUND(Salary*CollabPct,0)</f>
        <v>2600</v>
      </c>
      <c r="D13" s="17" t="n">
        <f aca="false">C13*10</f>
        <v>26000</v>
      </c>
      <c r="E13" s="17" t="n">
        <f aca="false">C13*100</f>
        <v>260000</v>
      </c>
      <c r="F13" s="17" t="n">
        <f aca="false">C13*1000</f>
        <v>2600000</v>
      </c>
      <c r="G13" s="17" t="n">
        <f aca="false">C13*Headcount</f>
        <v>260000</v>
      </c>
    </row>
    <row r="14" customFormat="false" ht="15" hidden="false" customHeight="false" outlineLevel="0" collapsed="false">
      <c r="A14" s="16" t="str">
        <f aca="false">"New-hire ramp and mentoring"</f>
        <v>New-hire ramp and mentoring</v>
      </c>
      <c r="B14" s="2" t="s">
        <v>119</v>
      </c>
      <c r="C14" s="17" t="n">
        <f aca="false">ROUND(NewHireCost*HiringRate,0)</f>
        <v>620</v>
      </c>
      <c r="D14" s="17" t="n">
        <f aca="false">C14*10</f>
        <v>6200</v>
      </c>
      <c r="E14" s="17" t="n">
        <f aca="false">C14*100</f>
        <v>62000</v>
      </c>
      <c r="F14" s="17" t="n">
        <f aca="false">C14*1000</f>
        <v>620000</v>
      </c>
      <c r="G14" s="17" t="n">
        <f aca="false">C14*Headcount</f>
        <v>62000</v>
      </c>
    </row>
    <row r="15" customFormat="false" ht="15" hidden="false" customHeight="false" outlineLevel="0" collapsed="false">
      <c r="A15" s="16" t="str">
        <f aca="false">"In-person weeks and travel"</f>
        <v>In-person weeks and travel</v>
      </c>
      <c r="B15" s="2" t="s">
        <v>120</v>
      </c>
      <c r="C15" s="17" t="n">
        <f aca="false">ROUND(TravelBudget,0)</f>
        <v>2000</v>
      </c>
      <c r="D15" s="17" t="n">
        <f aca="false">C15*10</f>
        <v>20000</v>
      </c>
      <c r="E15" s="17" t="n">
        <f aca="false">C15*100</f>
        <v>200000</v>
      </c>
      <c r="F15" s="17" t="n">
        <f aca="false">C15*1000</f>
        <v>2000000</v>
      </c>
      <c r="G15" s="17" t="n">
        <f aca="false">C15*Headcount</f>
        <v>200000</v>
      </c>
    </row>
    <row r="16" customFormat="false" ht="15" hidden="false" customHeight="false" outlineLevel="0" collapsed="false">
      <c r="A16" s="18" t="s">
        <v>121</v>
      </c>
      <c r="B16" s="19"/>
      <c r="C16" s="20" t="n">
        <f aca="false">SUM(C13:C15)</f>
        <v>5220</v>
      </c>
      <c r="D16" s="20" t="n">
        <f aca="false">C16*10</f>
        <v>52200</v>
      </c>
      <c r="E16" s="20" t="n">
        <f aca="false">C16*100</f>
        <v>522000</v>
      </c>
      <c r="F16" s="20" t="n">
        <f aca="false">C16*1000</f>
        <v>5220000</v>
      </c>
      <c r="G16" s="20" t="n">
        <f aca="false">C16*Headcount</f>
        <v>522000</v>
      </c>
    </row>
    <row r="18" customFormat="false" ht="15" hidden="false" customHeight="false" outlineLevel="0" collapsed="false">
      <c r="A18" s="21" t="s">
        <v>122</v>
      </c>
      <c r="B18" s="22" t="s">
        <v>123</v>
      </c>
      <c r="C18" s="23" t="n">
        <f aca="false">TotalDistance-TotalRoom</f>
        <v>1838</v>
      </c>
      <c r="D18" s="23" t="n">
        <f aca="false">C18*10</f>
        <v>18380</v>
      </c>
      <c r="E18" s="23" t="n">
        <f aca="false">C18*100</f>
        <v>183800</v>
      </c>
      <c r="F18" s="23" t="n">
        <f aca="false">C18*1000</f>
        <v>1838000</v>
      </c>
      <c r="G18" s="23" t="n">
        <f aca="false">C18*Headcount</f>
        <v>183800</v>
      </c>
    </row>
    <row r="19" customFormat="false" ht="15" hidden="false" customHeight="false" outlineLevel="0" collapsed="false">
      <c r="A19" s="2" t="s">
        <v>124</v>
      </c>
      <c r="C19" s="24" t="n">
        <f aca="false">Net/Salary</f>
        <v>0.01838</v>
      </c>
    </row>
    <row r="20" customFormat="false" ht="15" hidden="false" customHeight="false" outlineLevel="0" collapsed="false">
      <c r="A20" s="2" t="s">
        <v>125</v>
      </c>
      <c r="B20" s="2" t="s">
        <v>126</v>
      </c>
      <c r="C20" s="25" t="n">
        <f aca="false">AttrPointsAvoided</f>
        <v>0.04</v>
      </c>
      <c r="D20" s="26" t="n">
        <f aca="false">C20*10</f>
        <v>0.4</v>
      </c>
      <c r="E20" s="26" t="n">
        <f aca="false">C20*100</f>
        <v>4</v>
      </c>
      <c r="F20" s="26" t="n">
        <f aca="false">C20*1000</f>
        <v>40</v>
      </c>
      <c r="G20" s="26" t="n">
        <f aca="false">C20*Headcount</f>
        <v>4</v>
      </c>
    </row>
    <row r="22" customFormat="false" ht="15" hidden="false" customHeight="false" outlineLevel="0" collapsed="false">
      <c r="A22" s="27" t="s">
        <v>127</v>
      </c>
      <c r="B22" s="28"/>
      <c r="C22" s="28"/>
      <c r="D22" s="28"/>
      <c r="E22" s="28"/>
      <c r="F22" s="28"/>
      <c r="G22" s="28"/>
    </row>
    <row r="23" customFormat="false" ht="15" hidden="false" customHeight="false" outlineLevel="0" collapsed="false">
      <c r="A23" s="16" t="s">
        <v>128</v>
      </c>
      <c r="B23" s="2" t="s">
        <v>129</v>
      </c>
      <c r="C23" s="29" t="n">
        <f aca="false">HomeDays*CommuteMin/60</f>
        <v>110.4</v>
      </c>
      <c r="D23" s="29" t="n">
        <f aca="false">C23*10</f>
        <v>1104</v>
      </c>
      <c r="E23" s="29" t="n">
        <f aca="false">C23*100</f>
        <v>11040</v>
      </c>
      <c r="F23" s="29" t="n">
        <f aca="false">C23*1000</f>
        <v>110400</v>
      </c>
      <c r="G23" s="29" t="n">
        <f aca="false">C23*Headcount</f>
        <v>11040</v>
      </c>
    </row>
    <row r="24" customFormat="false" ht="15" hidden="false" customHeight="false" outlineLevel="0" collapsed="false">
      <c r="A24" s="16" t="s">
        <v>130</v>
      </c>
      <c r="B24" s="2" t="s">
        <v>131</v>
      </c>
      <c r="C24" s="29" t="n">
        <f aca="false">RecoveredHours</f>
        <v>44.16</v>
      </c>
      <c r="D24" s="29" t="n">
        <f aca="false">C24*10</f>
        <v>441.6</v>
      </c>
      <c r="E24" s="29" t="n">
        <f aca="false">C24*100</f>
        <v>4416</v>
      </c>
      <c r="F24" s="29" t="n">
        <f aca="false">C24*1000</f>
        <v>44160</v>
      </c>
      <c r="G24" s="29" t="n">
        <f aca="false">C24*Headcount</f>
        <v>4416</v>
      </c>
    </row>
    <row r="25" customFormat="false" ht="15" hidden="false" customHeight="false" outlineLevel="0" collapsed="false">
      <c r="A25" s="16" t="s">
        <v>132</v>
      </c>
      <c r="B25" s="2" t="s">
        <v>133</v>
      </c>
      <c r="C25" s="29" t="n">
        <f aca="false">HomeDays*CommuteMin/60*(1-ShareReturned)</f>
        <v>66.24</v>
      </c>
      <c r="D25" s="29" t="n">
        <f aca="false">C25*10</f>
        <v>662.4</v>
      </c>
      <c r="E25" s="29" t="n">
        <f aca="false">C25*100</f>
        <v>6624</v>
      </c>
      <c r="F25" s="29" t="n">
        <f aca="false">C25*1000</f>
        <v>66240</v>
      </c>
      <c r="G25" s="29" t="n">
        <f aca="false">C25*Headcount</f>
        <v>6624</v>
      </c>
    </row>
    <row r="26" customFormat="false" ht="15" hidden="false" customHeight="false" outlineLevel="0" collapsed="false">
      <c r="A26" s="16" t="s">
        <v>134</v>
      </c>
      <c r="B26" s="2" t="s">
        <v>135</v>
      </c>
      <c r="C26" s="17" t="n">
        <f aca="false">HomeDays*OfficeDayCost</f>
        <v>3195.16</v>
      </c>
      <c r="D26" s="17" t="n">
        <f aca="false">C26*10</f>
        <v>31951.6</v>
      </c>
      <c r="E26" s="17" t="n">
        <f aca="false">C26*100</f>
        <v>319516</v>
      </c>
      <c r="F26" s="17" t="n">
        <f aca="false">C26*1000</f>
        <v>3195160</v>
      </c>
      <c r="G26" s="17" t="n">
        <f aca="false">C26*Headcount</f>
        <v>319516</v>
      </c>
    </row>
    <row r="27" customFormat="false" ht="15" hidden="false" customHeight="false" outlineLevel="0" collapsed="false">
      <c r="A27" s="2" t="s">
        <v>136</v>
      </c>
    </row>
    <row r="29" customFormat="false" ht="15" hidden="false" customHeight="false" outlineLevel="0" collapsed="false">
      <c r="A29" s="6" t="s">
        <v>137</v>
      </c>
      <c r="B29" s="7"/>
      <c r="C29" s="7"/>
      <c r="D29" s="7"/>
      <c r="E29" s="7"/>
      <c r="F29" s="7"/>
      <c r="G29" s="7"/>
    </row>
    <row r="30" customFormat="false" ht="15" hidden="false" customHeight="false" outlineLevel="0" collapsed="false">
      <c r="A30" s="16" t="s">
        <v>138</v>
      </c>
      <c r="B30" s="2" t="s">
        <v>139</v>
      </c>
      <c r="C30" s="30" t="n">
        <f aca="false">Salary/PaidHours</f>
        <v>48.0769230769231</v>
      </c>
    </row>
    <row r="31" customFormat="false" ht="15" hidden="false" customHeight="false" outlineLevel="0" collapsed="false">
      <c r="A31" s="16" t="s">
        <v>140</v>
      </c>
      <c r="B31" s="2" t="s">
        <v>141</v>
      </c>
      <c r="C31" s="31" t="n">
        <f aca="false">WorkDays*HomeDaysWk/OfficeDaysBase</f>
        <v>92</v>
      </c>
    </row>
    <row r="32" customFormat="false" ht="15" hidden="false" customHeight="false" outlineLevel="0" collapsed="false">
      <c r="A32" s="16" t="s">
        <v>142</v>
      </c>
      <c r="B32" s="2" t="s">
        <v>143</v>
      </c>
      <c r="C32" s="29" t="n">
        <f aca="false">CommuteMin*ShareReturned</f>
        <v>28.8</v>
      </c>
    </row>
    <row r="33" customFormat="false" ht="15" hidden="false" customHeight="false" outlineLevel="0" collapsed="false">
      <c r="A33" s="16" t="s">
        <v>144</v>
      </c>
      <c r="B33" s="2" t="s">
        <v>145</v>
      </c>
      <c r="C33" s="32" t="n">
        <f aca="false">HomeDays*RecoveredMin/60</f>
        <v>44.16</v>
      </c>
    </row>
    <row r="34" customFormat="false" ht="15" hidden="false" customHeight="false" outlineLevel="0" collapsed="false">
      <c r="A34" s="16" t="s">
        <v>146</v>
      </c>
      <c r="B34" s="2" t="s">
        <v>147</v>
      </c>
      <c r="C34" s="17" t="n">
        <f aca="false">SeatCostMonth*12</f>
        <v>10200</v>
      </c>
    </row>
    <row r="35" customFormat="false" ht="15" hidden="false" customHeight="false" outlineLevel="0" collapsed="false">
      <c r="A35" s="16" t="s">
        <v>148</v>
      </c>
      <c r="B35" s="2" t="s">
        <v>149</v>
      </c>
      <c r="C35" s="33" t="n">
        <f aca="false">AttrBase-AttrHybrid</f>
        <v>0.04</v>
      </c>
    </row>
    <row r="36" customFormat="false" ht="15" hidden="false" customHeight="false" outlineLevel="0" collapsed="false">
      <c r="A36" s="16" t="s">
        <v>150</v>
      </c>
      <c r="B36" s="2" t="s">
        <v>151</v>
      </c>
      <c r="C36" s="17" t="n">
        <f aca="false">RampWeeks/52*Salary*RampLoss</f>
        <v>3846.15384615385</v>
      </c>
    </row>
    <row r="37" customFormat="false" ht="15" hidden="false" customHeight="false" outlineLevel="0" collapsed="false">
      <c r="A37" s="16" t="s">
        <v>152</v>
      </c>
      <c r="B37" s="2" t="s">
        <v>153</v>
      </c>
      <c r="C37" s="17" t="n">
        <f aca="false">MentorHrsWk*MentorWeeks*MentorRate</f>
        <v>3900</v>
      </c>
    </row>
    <row r="38" customFormat="false" ht="15" hidden="false" customHeight="false" outlineLevel="0" collapsed="false">
      <c r="A38" s="16" t="s">
        <v>154</v>
      </c>
      <c r="B38" s="2" t="s">
        <v>155</v>
      </c>
      <c r="C38" s="17" t="n">
        <f aca="false">RampCost+MentorCost</f>
        <v>7746.15384615385</v>
      </c>
    </row>
    <row r="40" customFormat="false" ht="15" hidden="false" customHeight="false" outlineLevel="0" collapsed="false">
      <c r="A40" s="2"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Footer>&amp;L&amp;8© 2026 John S. Muir  ·  Free to use within your organization&amp;R&amp;8www.invisibleleadershipseries.com/visibility-trap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4"/>
    <col collapsed="false" customWidth="true" hidden="false" outlineLevel="0" max="4" min="3" style="0" width="16"/>
    <col collapsed="false" customWidth="true" hidden="false" outlineLevel="0" max="5" min="5" style="0" width="18"/>
    <col collapsed="false" customWidth="true" hidden="false" outlineLevel="0" max="6" min="6" style="0" width="16"/>
    <col collapsed="false" customWidth="true" hidden="false" outlineLevel="0" max="7" min="7" style="0" width="26"/>
    <col collapsed="false" customWidth="true" hidden="false" outlineLevel="0" max="8" min="8" style="0" width="40"/>
  </cols>
  <sheetData>
    <row r="1" customFormat="false" ht="19.7" hidden="false" customHeight="false" outlineLevel="0" collapsed="false">
      <c r="A1" s="1" t="s">
        <v>156</v>
      </c>
    </row>
    <row r="2" customFormat="false" ht="15" hidden="false" customHeight="false" outlineLevel="0" collapsed="false">
      <c r="A2" s="2" t="s">
        <v>157</v>
      </c>
    </row>
    <row r="4" customFormat="false" ht="28.35" hidden="false" customHeight="false" outlineLevel="0" collapsed="false">
      <c r="A4" s="5" t="s">
        <v>158</v>
      </c>
      <c r="B4" s="5" t="s">
        <v>159</v>
      </c>
      <c r="C4" s="5" t="s">
        <v>160</v>
      </c>
      <c r="D4" s="5" t="s">
        <v>161</v>
      </c>
      <c r="E4" s="5" t="s">
        <v>162</v>
      </c>
      <c r="F4" s="5" t="s">
        <v>163</v>
      </c>
      <c r="G4" s="5" t="s">
        <v>164</v>
      </c>
    </row>
    <row r="5" customFormat="false" ht="31.5" hidden="false" customHeight="true" outlineLevel="0" collapsed="false">
      <c r="A5" s="4" t="s">
        <v>165</v>
      </c>
      <c r="B5" s="34" t="s">
        <v>166</v>
      </c>
      <c r="C5" s="34" t="s">
        <v>166</v>
      </c>
      <c r="D5" s="35" t="n">
        <f aca="false">Net</f>
        <v>1838</v>
      </c>
      <c r="E5" s="36" t="n">
        <f aca="false">D5*Headcount</f>
        <v>183800</v>
      </c>
      <c r="F5" s="37" t="n">
        <v>1838</v>
      </c>
      <c r="G5" s="38" t="str">
        <f aca="false">IF(ROUND(D5,0)=F5,"Matches book","Differs from book default")</f>
        <v>Matches book</v>
      </c>
    </row>
    <row r="6" customFormat="false" ht="31.5" hidden="false" customHeight="true" outlineLevel="0" collapsed="false">
      <c r="A6" s="4" t="s">
        <v>167</v>
      </c>
      <c r="B6" s="34" t="s">
        <v>166</v>
      </c>
      <c r="C6" s="36" t="n">
        <f aca="false">0</f>
        <v>0</v>
      </c>
      <c r="D6" s="35" t="n">
        <f aca="false">Net-L_Recovered+L_Collab</f>
        <v>2315</v>
      </c>
      <c r="E6" s="36" t="n">
        <f aca="false">D6*Headcount</f>
        <v>231500</v>
      </c>
      <c r="F6" s="37" t="n">
        <v>2315</v>
      </c>
      <c r="G6" s="38" t="str">
        <f aca="false">IF(ROUND(D6,0)=F6,"Matches book","Differs from book default")</f>
        <v>Matches book</v>
      </c>
    </row>
    <row r="7" customFormat="false" ht="31.5" hidden="false" customHeight="true" outlineLevel="0" collapsed="false">
      <c r="A7" s="4" t="s">
        <v>168</v>
      </c>
      <c r="B7" s="11" t="n">
        <v>54</v>
      </c>
      <c r="C7" s="36" t="n">
        <f aca="false">ROUND(HomeDays*ShareReturned*B7/60*HourlyRate,0)</f>
        <v>1592</v>
      </c>
      <c r="D7" s="35" t="n">
        <f aca="false">Net-L_Recovered+C7</f>
        <v>1307</v>
      </c>
      <c r="E7" s="36" t="n">
        <f aca="false">D7*Headcount</f>
        <v>130700</v>
      </c>
      <c r="F7" s="37" t="n">
        <v>1307</v>
      </c>
      <c r="G7" s="38" t="str">
        <f aca="false">IF(ROUND(D7,0)=F7,"Matches book","Differs from book default")</f>
        <v>Matches book</v>
      </c>
    </row>
    <row r="8" customFormat="false" ht="31.5" hidden="false" customHeight="true" outlineLevel="0" collapsed="false">
      <c r="A8" s="4" t="s">
        <v>169</v>
      </c>
      <c r="B8" s="12" t="n">
        <v>1</v>
      </c>
      <c r="C8" s="36" t="n">
        <f aca="false">ROUND(AttrPointsAvoided*Salary*B8,0)</f>
        <v>4000</v>
      </c>
      <c r="D8" s="35" t="n">
        <f aca="false">Net-L_Turnover+C8</f>
        <v>3838</v>
      </c>
      <c r="E8" s="36" t="n">
        <f aca="false">D8*Headcount</f>
        <v>383800</v>
      </c>
      <c r="F8" s="37" t="n">
        <v>3838</v>
      </c>
      <c r="G8" s="38" t="str">
        <f aca="false">IF(ROUND(D8,0)=F8,"Matches book","Differs from book default")</f>
        <v>Matches book</v>
      </c>
    </row>
    <row r="9" customFormat="false" ht="31.5" hidden="false" customHeight="true" outlineLevel="0" collapsed="false">
      <c r="A9" s="4" t="s">
        <v>170</v>
      </c>
      <c r="B9" s="12" t="n">
        <v>0</v>
      </c>
      <c r="C9" s="36" t="n">
        <f aca="false">ROUND(SeatCostYear*B9,0)</f>
        <v>0</v>
      </c>
      <c r="D9" s="35" t="n">
        <f aca="false">Net-L_Space+C9</f>
        <v>-712</v>
      </c>
      <c r="E9" s="36" t="n">
        <f aca="false">D9*Headcount</f>
        <v>-71200</v>
      </c>
      <c r="F9" s="37" t="n">
        <v>-712</v>
      </c>
      <c r="G9" s="38" t="str">
        <f aca="false">IF(ROUND(D9,0)=F9,"Matches book","Differs from book default")</f>
        <v>Matches book</v>
      </c>
    </row>
    <row r="10" customFormat="false" ht="31.5" hidden="false" customHeight="true" outlineLevel="0" collapsed="false">
      <c r="A10" s="4" t="s">
        <v>171</v>
      </c>
      <c r="B10" s="12" t="n">
        <v>0.08</v>
      </c>
      <c r="C10" s="36" t="n">
        <f aca="false">ROUND(Salary*B10,0)</f>
        <v>8000</v>
      </c>
      <c r="D10" s="35" t="n">
        <f aca="false">Net+L_Collab-C10</f>
        <v>-3562</v>
      </c>
      <c r="E10" s="36" t="n">
        <f aca="false">D10*Headcount</f>
        <v>-356200</v>
      </c>
      <c r="F10" s="37" t="n">
        <v>-3562</v>
      </c>
      <c r="G10" s="38" t="str">
        <f aca="false">IF(ROUND(D10,0)=F10,"Matches book","Differs from book default")</f>
        <v>Matches book</v>
      </c>
    </row>
    <row r="11" customFormat="false" ht="31.5" hidden="false" customHeight="true" outlineLevel="0" collapsed="false">
      <c r="A11" s="4" t="s">
        <v>172</v>
      </c>
      <c r="B11" s="34" t="s">
        <v>166</v>
      </c>
      <c r="C11" s="36" t="n">
        <f aca="false">0</f>
        <v>0</v>
      </c>
      <c r="D11" s="35" t="n">
        <f aca="false">Net-L_Absence</f>
        <v>1453</v>
      </c>
      <c r="E11" s="36" t="n">
        <f aca="false">D11*Headcount</f>
        <v>145300</v>
      </c>
      <c r="F11" s="37" t="n">
        <v>1453</v>
      </c>
      <c r="G11" s="38" t="str">
        <f aca="false">IF(ROUND(D11,0)=F11,"Matches book","Differs from book default")</f>
        <v>Matches book</v>
      </c>
      <c r="H11" s="39" t="s">
        <v>173</v>
      </c>
    </row>
    <row r="13" customFormat="false" ht="15" hidden="false" customHeight="false" outlineLevel="0" collapsed="false">
      <c r="A13" s="6" t="s">
        <v>174</v>
      </c>
      <c r="B13" s="7"/>
      <c r="C13" s="7"/>
      <c r="D13" s="7"/>
      <c r="E13" s="7"/>
      <c r="F13" s="7"/>
      <c r="G13" s="7"/>
    </row>
    <row r="14" customFormat="false" ht="15" hidden="false" customHeight="false" outlineLevel="0" collapsed="false">
      <c r="A14" s="40" t="s">
        <v>175</v>
      </c>
      <c r="B14" s="40" t="s">
        <v>176</v>
      </c>
      <c r="C14" s="40" t="s">
        <v>125</v>
      </c>
      <c r="F14" s="40" t="s">
        <v>177</v>
      </c>
      <c r="G14" s="40" t="s">
        <v>164</v>
      </c>
    </row>
    <row r="15" customFormat="false" ht="15" hidden="false" customHeight="false" outlineLevel="0" collapsed="false">
      <c r="A15" s="16" t="s">
        <v>108</v>
      </c>
      <c r="B15" s="41" t="n">
        <v>10</v>
      </c>
      <c r="C15" s="42" t="n">
        <f aca="false">AttrPointsAvoided*B15</f>
        <v>0.4</v>
      </c>
      <c r="F15" s="26" t="n">
        <v>0.4</v>
      </c>
      <c r="G15" s="2" t="str">
        <f aca="false">IF(ROUND(C15,1)=F15,"Matches book","Differs from book default")</f>
        <v>Matches book</v>
      </c>
    </row>
    <row r="16" customFormat="false" ht="15" hidden="false" customHeight="false" outlineLevel="0" collapsed="false">
      <c r="A16" s="16" t="s">
        <v>109</v>
      </c>
      <c r="B16" s="41" t="n">
        <v>100</v>
      </c>
      <c r="C16" s="42" t="n">
        <f aca="false">AttrPointsAvoided*B16</f>
        <v>4</v>
      </c>
      <c r="F16" s="26" t="n">
        <v>4</v>
      </c>
      <c r="G16" s="2" t="str">
        <f aca="false">IF(ROUND(C16,1)=F16,"Matches book","Differs from book default")</f>
        <v>Matches book</v>
      </c>
    </row>
    <row r="17" customFormat="false" ht="15" hidden="false" customHeight="false" outlineLevel="0" collapsed="false">
      <c r="A17" s="16" t="s">
        <v>110</v>
      </c>
      <c r="B17" s="41" t="n">
        <v>1000</v>
      </c>
      <c r="C17" s="42" t="n">
        <f aca="false">AttrPointsAvoided*B17</f>
        <v>40</v>
      </c>
      <c r="F17" s="26" t="n">
        <v>40</v>
      </c>
      <c r="G17" s="2" t="str">
        <f aca="false">IF(ROUND(C17,1)=F17,"Matches book","Differs from book default")</f>
        <v>Matches book</v>
      </c>
    </row>
    <row r="18" customFormat="false" ht="15" hidden="false" customHeight="false" outlineLevel="0" collapsed="false">
      <c r="A18" s="2" t="s">
        <v>178</v>
      </c>
    </row>
    <row r="20" customFormat="false" ht="15" hidden="false" customHeight="false" outlineLevel="0" collapsed="false">
      <c r="A20" s="2" t="s">
        <v>179</v>
      </c>
    </row>
    <row r="21" customFormat="false" ht="15" hidden="false" customHeight="false" outlineLevel="0" collapsed="false">
      <c r="A21" s="2"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Footer>&amp;L&amp;8© 2026 John S. Muir  ·  Free to use within your organization&amp;R&amp;8www.invisibleleadershipseries.com/visibility-trap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20"/>
    <col collapsed="false" customWidth="true" hidden="false" outlineLevel="0" max="4" min="4" style="0" width="80"/>
  </cols>
  <sheetData>
    <row r="1" customFormat="false" ht="19.7" hidden="false" customHeight="false" outlineLevel="0" collapsed="false">
      <c r="A1" s="1" t="s">
        <v>180</v>
      </c>
    </row>
    <row r="2" customFormat="false" ht="15" hidden="false" customHeight="false" outlineLevel="0" collapsed="false">
      <c r="A2" s="2" t="s">
        <v>181</v>
      </c>
    </row>
    <row r="4" customFormat="false" ht="15" hidden="false" customHeight="false" outlineLevel="0" collapsed="false">
      <c r="A4" s="5" t="s">
        <v>182</v>
      </c>
      <c r="B4" s="5" t="s">
        <v>25</v>
      </c>
      <c r="C4" s="5" t="s">
        <v>26</v>
      </c>
      <c r="D4" s="5" t="s">
        <v>27</v>
      </c>
    </row>
    <row r="5" customFormat="false" ht="15" hidden="false" customHeight="false" outlineLevel="0" collapsed="false">
      <c r="A5" s="6" t="s">
        <v>183</v>
      </c>
      <c r="B5" s="7"/>
      <c r="C5" s="7"/>
      <c r="D5" s="7"/>
    </row>
    <row r="6" customFormat="false" ht="30" hidden="false" customHeight="true" outlineLevel="0" collapsed="false">
      <c r="A6" s="4" t="s">
        <v>184</v>
      </c>
      <c r="B6" s="43" t="s">
        <v>185</v>
      </c>
      <c r="C6" s="9"/>
      <c r="D6" s="10" t="s">
        <v>186</v>
      </c>
    </row>
    <row r="7" customFormat="false" ht="19.5" hidden="false" customHeight="true" outlineLevel="0" collapsed="false">
      <c r="A7" s="4" t="s">
        <v>187</v>
      </c>
      <c r="B7" s="11" t="n">
        <v>1200</v>
      </c>
      <c r="C7" s="9" t="s">
        <v>188</v>
      </c>
      <c r="D7" s="10" t="s">
        <v>189</v>
      </c>
    </row>
    <row r="8" customFormat="false" ht="31.5" hidden="false" customHeight="true" outlineLevel="0" collapsed="false">
      <c r="A8" s="4" t="s">
        <v>190</v>
      </c>
      <c r="B8" s="44" t="s">
        <v>191</v>
      </c>
      <c r="C8" s="9" t="s">
        <v>192</v>
      </c>
      <c r="D8" s="10" t="s">
        <v>193</v>
      </c>
    </row>
    <row r="9" customFormat="false" ht="60" hidden="false" customHeight="true" outlineLevel="0" collapsed="false">
      <c r="A9" s="4" t="s">
        <v>194</v>
      </c>
      <c r="B9" s="8" t="n">
        <v>14400000</v>
      </c>
      <c r="C9" s="9" t="s">
        <v>30</v>
      </c>
      <c r="D9" s="10" t="s">
        <v>195</v>
      </c>
    </row>
    <row r="11" customFormat="false" ht="15" hidden="false" customHeight="false" outlineLevel="0" collapsed="false">
      <c r="A11" s="6" t="s">
        <v>196</v>
      </c>
      <c r="B11" s="7"/>
      <c r="C11" s="7"/>
      <c r="D11" s="7"/>
    </row>
    <row r="12" customFormat="false" ht="31.5" hidden="false" customHeight="true" outlineLevel="0" collapsed="false">
      <c r="A12" s="4" t="s">
        <v>197</v>
      </c>
      <c r="B12" s="15" t="n">
        <v>37.58</v>
      </c>
      <c r="C12" s="9" t="s">
        <v>198</v>
      </c>
      <c r="D12" s="10" t="s">
        <v>199</v>
      </c>
    </row>
    <row r="13" customFormat="false" ht="31.5" hidden="false" customHeight="true" outlineLevel="0" collapsed="false">
      <c r="A13" s="4" t="s">
        <v>200</v>
      </c>
      <c r="B13" s="11" t="n">
        <v>150</v>
      </c>
      <c r="C13" s="9" t="s">
        <v>201</v>
      </c>
      <c r="D13" s="10" t="s">
        <v>202</v>
      </c>
    </row>
    <row r="14" customFormat="false" ht="43.5" hidden="false" customHeight="true" outlineLevel="0" collapsed="false">
      <c r="A14" s="4" t="s">
        <v>203</v>
      </c>
      <c r="B14" s="8" t="n">
        <v>6000</v>
      </c>
      <c r="C14" s="9" t="s">
        <v>204</v>
      </c>
      <c r="D14" s="10" t="s">
        <v>205</v>
      </c>
    </row>
    <row r="15" customFormat="false" ht="19.5" hidden="false" customHeight="true" outlineLevel="0" collapsed="false">
      <c r="A15" s="4" t="s">
        <v>206</v>
      </c>
      <c r="B15" s="45" t="n">
        <f aca="false">DC_Rent*DC_SqFt</f>
        <v>5637</v>
      </c>
      <c r="C15" s="9" t="s">
        <v>204</v>
      </c>
      <c r="D15" s="46" t="s">
        <v>207</v>
      </c>
    </row>
    <row r="16" customFormat="false" ht="19.5" hidden="false" customHeight="true" outlineLevel="0" collapsed="false">
      <c r="A16" s="4" t="s">
        <v>208</v>
      </c>
      <c r="B16" s="45" t="n">
        <f aca="false">DC_RentSeat+DC_Extras</f>
        <v>11637</v>
      </c>
      <c r="C16" s="9" t="s">
        <v>204</v>
      </c>
      <c r="D16" s="46" t="s">
        <v>209</v>
      </c>
    </row>
    <row r="17" customFormat="false" ht="19.5" hidden="false" customHeight="true" outlineLevel="0" collapsed="false">
      <c r="A17" s="4" t="s">
        <v>210</v>
      </c>
      <c r="B17" s="45" t="n">
        <f aca="false">(DC_RentSeat+DC_Extras)*DC_Desks</f>
        <v>13964400</v>
      </c>
      <c r="C17" s="9" t="s">
        <v>30</v>
      </c>
      <c r="D17" s="46" t="s">
        <v>211</v>
      </c>
    </row>
    <row r="19" customFormat="false" ht="15" hidden="false" customHeight="false" outlineLevel="0" collapsed="false">
      <c r="A19" s="6" t="s">
        <v>212</v>
      </c>
      <c r="B19" s="7"/>
      <c r="C19" s="7"/>
      <c r="D19" s="7"/>
    </row>
    <row r="20" customFormat="false" ht="31.5" hidden="false" customHeight="true" outlineLevel="0" collapsed="false">
      <c r="A20" s="4" t="s">
        <v>213</v>
      </c>
      <c r="B20" s="12" t="n">
        <v>0.45</v>
      </c>
      <c r="C20" s="9" t="s">
        <v>214</v>
      </c>
      <c r="D20" s="10" t="s">
        <v>215</v>
      </c>
    </row>
    <row r="21" customFormat="false" ht="19.5" hidden="false" customHeight="true" outlineLevel="0" collapsed="false">
      <c r="A21" s="4" t="s">
        <v>216</v>
      </c>
      <c r="B21" s="12" t="n">
        <v>0.6</v>
      </c>
      <c r="C21" s="9" t="s">
        <v>214</v>
      </c>
      <c r="D21" s="10" t="s">
        <v>217</v>
      </c>
    </row>
    <row r="22" customFormat="false" ht="19.5" hidden="false" customHeight="true" outlineLevel="0" collapsed="false">
      <c r="A22" s="4" t="s">
        <v>218</v>
      </c>
      <c r="B22" s="12" t="n">
        <v>0.55</v>
      </c>
      <c r="C22" s="9" t="s">
        <v>214</v>
      </c>
      <c r="D22" s="10" t="s">
        <v>219</v>
      </c>
    </row>
    <row r="23" customFormat="false" ht="19.5" hidden="false" customHeight="true" outlineLevel="0" collapsed="false">
      <c r="A23" s="4" t="s">
        <v>220</v>
      </c>
      <c r="B23" s="12" t="n">
        <v>0.5</v>
      </c>
      <c r="C23" s="9" t="s">
        <v>214</v>
      </c>
      <c r="D23" s="10" t="s">
        <v>221</v>
      </c>
    </row>
    <row r="24" customFormat="false" ht="19.5" hidden="false" customHeight="true" outlineLevel="0" collapsed="false">
      <c r="A24" s="4" t="s">
        <v>222</v>
      </c>
      <c r="B24" s="12" t="n">
        <v>0.2</v>
      </c>
      <c r="C24" s="9" t="s">
        <v>214</v>
      </c>
      <c r="D24" s="10" t="s">
        <v>223</v>
      </c>
    </row>
    <row r="25" customFormat="false" ht="31.5" hidden="false" customHeight="true" outlineLevel="0" collapsed="false">
      <c r="A25" s="4" t="s">
        <v>224</v>
      </c>
      <c r="B25" s="12" t="n">
        <v>0.1</v>
      </c>
      <c r="C25" s="9" t="s">
        <v>225</v>
      </c>
      <c r="D25" s="10" t="s">
        <v>226</v>
      </c>
    </row>
    <row r="27" customFormat="false" ht="15" hidden="false" customHeight="false" outlineLevel="0" collapsed="false">
      <c r="A27" s="6" t="s">
        <v>227</v>
      </c>
      <c r="B27" s="7"/>
      <c r="C27" s="7"/>
      <c r="D27" s="7"/>
    </row>
    <row r="28" customFormat="false" ht="31.5" hidden="false" customHeight="true" outlineLevel="0" collapsed="false">
      <c r="A28" s="4" t="s">
        <v>228</v>
      </c>
      <c r="B28" s="47" t="n">
        <v>46568</v>
      </c>
      <c r="C28" s="9" t="s">
        <v>229</v>
      </c>
      <c r="D28" s="10" t="s">
        <v>230</v>
      </c>
    </row>
    <row r="29" customFormat="false" ht="19.5" hidden="false" customHeight="true" outlineLevel="0" collapsed="false">
      <c r="A29" s="4" t="s">
        <v>231</v>
      </c>
      <c r="B29" s="11" t="n">
        <v>10</v>
      </c>
      <c r="C29" s="9" t="s">
        <v>232</v>
      </c>
      <c r="D29" s="10" t="s">
        <v>233</v>
      </c>
    </row>
    <row r="30" customFormat="false" ht="45.75" hidden="false" customHeight="true" outlineLevel="0" collapsed="false">
      <c r="A30" s="4" t="s">
        <v>234</v>
      </c>
      <c r="B30" s="11" t="n">
        <v>600</v>
      </c>
      <c r="C30" s="9" t="s">
        <v>188</v>
      </c>
      <c r="D30" s="10" t="s">
        <v>235</v>
      </c>
    </row>
    <row r="32" customFormat="false" ht="15" hidden="false" customHeight="false" outlineLevel="0" collapsed="false">
      <c r="A32" s="5" t="s">
        <v>236</v>
      </c>
      <c r="B32" s="5" t="s">
        <v>25</v>
      </c>
      <c r="C32" s="5" t="s">
        <v>26</v>
      </c>
      <c r="D32" s="5" t="s">
        <v>237</v>
      </c>
    </row>
    <row r="33" customFormat="false" ht="15" hidden="false" customHeight="false" outlineLevel="0" collapsed="false">
      <c r="A33" s="6" t="s">
        <v>238</v>
      </c>
      <c r="B33" s="7"/>
      <c r="C33" s="7"/>
      <c r="D33" s="7"/>
    </row>
    <row r="34" customFormat="false" ht="19.5" hidden="false" customHeight="true" outlineLevel="0" collapsed="false">
      <c r="A34" s="4" t="s">
        <v>239</v>
      </c>
      <c r="B34" s="45" t="n">
        <f aca="false">IF(DC_Method="Built from rent",DC_CostBuilt,DC_CostEntered)</f>
        <v>14400000</v>
      </c>
      <c r="C34" s="9" t="s">
        <v>30</v>
      </c>
      <c r="D34" s="46" t="s">
        <v>240</v>
      </c>
    </row>
    <row r="35" customFormat="false" ht="19.5" hidden="false" customHeight="true" outlineLevel="0" collapsed="false">
      <c r="A35" s="4" t="s">
        <v>241</v>
      </c>
      <c r="B35" s="45" t="n">
        <f aca="false">DC_Cost/DC_Desks</f>
        <v>12000</v>
      </c>
      <c r="C35" s="9" t="s">
        <v>242</v>
      </c>
      <c r="D35" s="46" t="s">
        <v>243</v>
      </c>
    </row>
    <row r="36" customFormat="false" ht="19.5" hidden="false" customHeight="true" outlineLevel="0" collapsed="false">
      <c r="A36" s="4" t="s">
        <v>244</v>
      </c>
      <c r="B36" s="48" t="n">
        <f aca="false">AVERAGE(DC_Mon,DC_Tue,DC_Wed,DC_Thu,DC_Fri)</f>
        <v>0.46</v>
      </c>
      <c r="C36" s="9" t="s">
        <v>52</v>
      </c>
      <c r="D36" s="46" t="s">
        <v>245</v>
      </c>
    </row>
    <row r="37" customFormat="false" ht="19.5" hidden="false" customHeight="true" outlineLevel="0" collapsed="false">
      <c r="A37" s="4" t="s">
        <v>246</v>
      </c>
      <c r="B37" s="49" t="n">
        <f aca="false">DC_Desks*DC_AvgOcc</f>
        <v>552</v>
      </c>
      <c r="C37" s="9" t="s">
        <v>36</v>
      </c>
      <c r="D37" s="46" t="s">
        <v>247</v>
      </c>
    </row>
    <row r="38" customFormat="false" ht="31.5" hidden="false" customHeight="true" outlineLevel="0" collapsed="false">
      <c r="A38" s="50" t="s">
        <v>248</v>
      </c>
      <c r="B38" s="51" t="n">
        <f aca="false">DC_Cost/DC_AvgPeople</f>
        <v>26086.9565217391</v>
      </c>
      <c r="C38" s="52" t="s">
        <v>249</v>
      </c>
      <c r="D38" s="53" t="s">
        <v>250</v>
      </c>
    </row>
    <row r="40" customFormat="false" ht="30" hidden="false" customHeight="true" outlineLevel="0" collapsed="false">
      <c r="A40" s="5" t="s">
        <v>251</v>
      </c>
      <c r="B40" s="5" t="s">
        <v>252</v>
      </c>
      <c r="C40" s="5" t="s">
        <v>253</v>
      </c>
      <c r="D40" s="5" t="s">
        <v>254</v>
      </c>
    </row>
    <row r="41" customFormat="false" ht="15" hidden="false" customHeight="false" outlineLevel="0" collapsed="false">
      <c r="A41" s="16" t="s">
        <v>213</v>
      </c>
      <c r="B41" s="54" t="n">
        <f aca="false">DC_Mon</f>
        <v>0.45</v>
      </c>
      <c r="C41" s="55" t="n">
        <f aca="false">DC_Desks*B41</f>
        <v>540</v>
      </c>
      <c r="D41" s="56" t="n">
        <f aca="false">IF(C41&gt;0,DC_Cost/C41,"no one present")</f>
        <v>26666.6666666667</v>
      </c>
    </row>
    <row r="42" customFormat="false" ht="15" hidden="false" customHeight="false" outlineLevel="0" collapsed="false">
      <c r="A42" s="16" t="s">
        <v>216</v>
      </c>
      <c r="B42" s="54" t="n">
        <f aca="false">DC_Tue</f>
        <v>0.6</v>
      </c>
      <c r="C42" s="55" t="n">
        <f aca="false">DC_Desks*B42</f>
        <v>720</v>
      </c>
      <c r="D42" s="56" t="n">
        <f aca="false">IF(C42&gt;0,DC_Cost/C42,"no one present")</f>
        <v>20000</v>
      </c>
    </row>
    <row r="43" customFormat="false" ht="15" hidden="false" customHeight="false" outlineLevel="0" collapsed="false">
      <c r="A43" s="16" t="s">
        <v>218</v>
      </c>
      <c r="B43" s="54" t="n">
        <f aca="false">DC_Wed</f>
        <v>0.55</v>
      </c>
      <c r="C43" s="55" t="n">
        <f aca="false">DC_Desks*B43</f>
        <v>660</v>
      </c>
      <c r="D43" s="56" t="n">
        <f aca="false">IF(C43&gt;0,DC_Cost/C43,"no one present")</f>
        <v>21818.1818181818</v>
      </c>
    </row>
    <row r="44" customFormat="false" ht="15" hidden="false" customHeight="false" outlineLevel="0" collapsed="false">
      <c r="A44" s="16" t="s">
        <v>220</v>
      </c>
      <c r="B44" s="54" t="n">
        <f aca="false">DC_Thu</f>
        <v>0.5</v>
      </c>
      <c r="C44" s="55" t="n">
        <f aca="false">DC_Desks*B44</f>
        <v>600</v>
      </c>
      <c r="D44" s="56" t="n">
        <f aca="false">IF(C44&gt;0,DC_Cost/C44,"no one present")</f>
        <v>24000</v>
      </c>
    </row>
    <row r="45" customFormat="false" ht="15" hidden="false" customHeight="false" outlineLevel="0" collapsed="false">
      <c r="A45" s="16" t="s">
        <v>222</v>
      </c>
      <c r="B45" s="54" t="n">
        <f aca="false">DC_Fri</f>
        <v>0.2</v>
      </c>
      <c r="C45" s="55" t="n">
        <f aca="false">DC_Desks*B45</f>
        <v>240</v>
      </c>
      <c r="D45" s="56" t="n">
        <f aca="false">IF(C45&gt;0,DC_Cost/C45,"no one present")</f>
        <v>60000</v>
      </c>
    </row>
    <row r="46" customFormat="false" ht="15" hidden="false" customHeight="false" outlineLevel="0" collapsed="false">
      <c r="A46" s="57" t="s">
        <v>255</v>
      </c>
    </row>
    <row r="48" customFormat="false" ht="15" hidden="false" customHeight="false" outlineLevel="0" collapsed="false">
      <c r="A48" s="6" t="s">
        <v>256</v>
      </c>
      <c r="B48" s="7"/>
      <c r="C48" s="7"/>
      <c r="D48" s="7"/>
    </row>
    <row r="49" customFormat="false" ht="19.5" hidden="false" customHeight="true" outlineLevel="0" collapsed="false">
      <c r="A49" s="4" t="s">
        <v>257</v>
      </c>
      <c r="B49" s="58" t="str">
        <f aca="false">INDEX(DC_DayNames,MATCH(MAX(DC_OccRange),DC_OccRange,0))</f>
        <v>Tuesday</v>
      </c>
      <c r="D49" s="46" t="s">
        <v>258</v>
      </c>
    </row>
    <row r="50" customFormat="false" ht="19.5" hidden="false" customHeight="true" outlineLevel="0" collapsed="false">
      <c r="A50" s="4" t="s">
        <v>259</v>
      </c>
      <c r="B50" s="59" t="n">
        <f aca="false">MAX(DC_OccRange)</f>
        <v>0.6</v>
      </c>
      <c r="C50" s="9" t="s">
        <v>52</v>
      </c>
      <c r="D50" s="46" t="s">
        <v>260</v>
      </c>
    </row>
    <row r="51" customFormat="false" ht="15" hidden="false" customHeight="false" outlineLevel="0" collapsed="false">
      <c r="A51" s="4" t="s">
        <v>261</v>
      </c>
      <c r="B51" s="49" t="n">
        <f aca="false">DC_Desks*DC_PeakOcc</f>
        <v>720</v>
      </c>
      <c r="C51" s="9" t="s">
        <v>36</v>
      </c>
    </row>
    <row r="52" customFormat="false" ht="15" hidden="false" customHeight="false" outlineLevel="0" collapsed="false">
      <c r="A52" s="4" t="s">
        <v>262</v>
      </c>
      <c r="B52" s="58" t="str">
        <f aca="false">INDEX(DC_DayNames,MATCH(MIN(DC_OccRange),DC_OccRange,0))</f>
        <v>Friday</v>
      </c>
    </row>
    <row r="53" customFormat="false" ht="15" hidden="false" customHeight="false" outlineLevel="0" collapsed="false">
      <c r="A53" s="4" t="s">
        <v>263</v>
      </c>
      <c r="B53" s="59" t="n">
        <f aca="false">MIN(DC_OccRange)</f>
        <v>0.2</v>
      </c>
      <c r="C53" s="9" t="s">
        <v>52</v>
      </c>
    </row>
    <row r="54" customFormat="false" ht="31.5" hidden="false" customHeight="true" outlineLevel="0" collapsed="false">
      <c r="A54" s="4" t="s">
        <v>264</v>
      </c>
      <c r="B54" s="60" t="n">
        <f aca="false">IF(DC_LowOcc&gt;0,DC_PeakOcc/DC_LowOcc,"n/a")</f>
        <v>3</v>
      </c>
      <c r="C54" s="9" t="s">
        <v>265</v>
      </c>
      <c r="D54" s="46" t="s">
        <v>266</v>
      </c>
    </row>
    <row r="56" customFormat="false" ht="15" hidden="false" customHeight="false" outlineLevel="0" collapsed="false">
      <c r="A56" s="6" t="s">
        <v>267</v>
      </c>
      <c r="B56" s="7"/>
      <c r="C56" s="7"/>
      <c r="D56" s="7"/>
    </row>
    <row r="57" customFormat="false" ht="31.5" hidden="false" customHeight="true" outlineLevel="0" collapsed="false">
      <c r="A57" s="4" t="s">
        <v>268</v>
      </c>
      <c r="B57" s="49" t="n">
        <f aca="false">ROUNDUP(DC_Desks*DC_PeakOcc*(1+DC_Buffer),0)</f>
        <v>792</v>
      </c>
      <c r="C57" s="9" t="s">
        <v>188</v>
      </c>
      <c r="D57" s="46" t="s">
        <v>269</v>
      </c>
    </row>
    <row r="58" customFormat="false" ht="19.5" hidden="false" customHeight="true" outlineLevel="0" collapsed="false">
      <c r="A58" s="4" t="s">
        <v>270</v>
      </c>
      <c r="B58" s="49" t="n">
        <f aca="false">MAX(0,DC_Desks-DC_Needed)</f>
        <v>408</v>
      </c>
      <c r="C58" s="9" t="s">
        <v>188</v>
      </c>
      <c r="D58" s="46" t="s">
        <v>271</v>
      </c>
    </row>
    <row r="59" customFormat="false" ht="45.75" hidden="false" customHeight="true" outlineLevel="0" collapsed="false">
      <c r="A59" s="61" t="s">
        <v>272</v>
      </c>
      <c r="B59" s="62" t="n">
        <f aca="false">DC_Surplus*DC_PerDesk</f>
        <v>4896000</v>
      </c>
      <c r="C59" s="63" t="s">
        <v>30</v>
      </c>
      <c r="D59" s="64" t="s">
        <v>273</v>
      </c>
    </row>
    <row r="60" customFormat="false" ht="31.5" hidden="false" customHeight="true" outlineLevel="0" collapsed="false">
      <c r="A60" s="4" t="s">
        <v>274</v>
      </c>
      <c r="B60" s="45" t="n">
        <f aca="false">DC_PeakSaving*DC_Term</f>
        <v>48960000</v>
      </c>
      <c r="C60" s="9" t="s">
        <v>275</v>
      </c>
      <c r="D60" s="46" t="s">
        <v>276</v>
      </c>
    </row>
    <row r="62" customFormat="false" ht="15" hidden="false" customHeight="false" outlineLevel="0" collapsed="false">
      <c r="A62" s="6" t="s">
        <v>277</v>
      </c>
      <c r="B62" s="7"/>
      <c r="C62" s="7"/>
      <c r="D62" s="7"/>
    </row>
    <row r="63" customFormat="false" ht="19.5" hidden="false" customHeight="true" outlineLevel="0" collapsed="false">
      <c r="A63" s="4" t="s">
        <v>278</v>
      </c>
      <c r="B63" s="49" t="n">
        <f aca="false">DC_Desks-DC_Release</f>
        <v>600</v>
      </c>
      <c r="C63" s="9" t="s">
        <v>188</v>
      </c>
      <c r="D63" s="46" t="s">
        <v>279</v>
      </c>
    </row>
    <row r="64" customFormat="false" ht="19.5" hidden="false" customHeight="true" outlineLevel="0" collapsed="false">
      <c r="A64" s="4" t="s">
        <v>280</v>
      </c>
      <c r="B64" s="45" t="n">
        <f aca="false">DC_Release*DC_PerDesk</f>
        <v>7200000</v>
      </c>
      <c r="C64" s="9" t="s">
        <v>30</v>
      </c>
      <c r="D64" s="46" t="s">
        <v>281</v>
      </c>
    </row>
    <row r="65" customFormat="false" ht="19.5" hidden="false" customHeight="true" outlineLevel="0" collapsed="false">
      <c r="A65" s="4" t="s">
        <v>282</v>
      </c>
      <c r="B65" s="49" t="n">
        <f aca="false">MAX(0,DC_Needed-DC_Remaining)</f>
        <v>192</v>
      </c>
      <c r="C65" s="9" t="s">
        <v>188</v>
      </c>
      <c r="D65" s="46" t="s">
        <v>283</v>
      </c>
    </row>
    <row r="66" customFormat="false" ht="31.5" hidden="false" customHeight="true" outlineLevel="0" collapsed="false">
      <c r="A66" s="4" t="s">
        <v>284</v>
      </c>
      <c r="B66" s="48" t="n">
        <f aca="false">DC_Remaining/(1+DC_Buffer)/DC_Desks</f>
        <v>0.454545454545455</v>
      </c>
      <c r="C66" s="9" t="s">
        <v>285</v>
      </c>
      <c r="D66" s="46" t="s">
        <v>286</v>
      </c>
    </row>
    <row r="67" customFormat="false" ht="45.75" hidden="false" customHeight="true" outlineLevel="0" collapsed="false">
      <c r="A67" s="4" t="s">
        <v>287</v>
      </c>
      <c r="B67" s="65" t="str">
        <f aca="false">IF(DC_Release=0,"No seats released.",IF(DC_Short&gt;0,"Your busiest day ("&amp;DC_PeakDay&amp;") would not fit. Attendance has to be spread, for example by coordinated anchor days, so that no day goes above "&amp;TEXT(DC_MaxOcc,"0%")&amp;" of today's workstations.","The remaining seats cover your busiest day with the buffer."))</f>
        <v>Your busiest day (Tuesday) would not fit. Attendance has to be spread, for example by coordinated anchor days, so that no day goes above 45% of today's workstations.</v>
      </c>
      <c r="C67" s="65"/>
      <c r="D67" s="65"/>
    </row>
    <row r="68" customFormat="false" ht="31.5" hidden="false" customHeight="true" outlineLevel="0" collapsed="false">
      <c r="A68" s="4" t="s">
        <v>288</v>
      </c>
      <c r="B68" s="45" t="n">
        <f aca="false">IF(DC_AvgPeople&gt;0,(DC_Cost-DC_ReleaseSaving)/DC_AvgPeople,0)</f>
        <v>13043.4782608696</v>
      </c>
      <c r="C68" s="9" t="s">
        <v>249</v>
      </c>
      <c r="D68" s="46" t="s">
        <v>289</v>
      </c>
    </row>
    <row r="70" customFormat="false" ht="15" hidden="false" customHeight="false" outlineLevel="0" collapsed="false">
      <c r="A70" s="6" t="s">
        <v>290</v>
      </c>
      <c r="B70" s="7"/>
      <c r="C70" s="7"/>
      <c r="D70" s="7"/>
    </row>
    <row r="71" customFormat="false" ht="19.5" hidden="false" customHeight="true" outlineLevel="0" collapsed="false">
      <c r="A71" s="4" t="s">
        <v>291</v>
      </c>
      <c r="B71" s="66" t="n">
        <f aca="true">TODAY()</f>
        <v>46299</v>
      </c>
      <c r="C71" s="9" t="s">
        <v>229</v>
      </c>
      <c r="D71" s="46" t="s">
        <v>292</v>
      </c>
    </row>
    <row r="72" customFormat="false" ht="19.5" hidden="false" customHeight="true" outlineLevel="0" collapsed="false">
      <c r="A72" s="61" t="s">
        <v>293</v>
      </c>
      <c r="B72" s="67" t="n">
        <f aca="true">IF(DC_RenewDate&lt;=TODAY(),0,DATEDIF(TODAY(),DC_RenewDate,"m"))</f>
        <v>8</v>
      </c>
      <c r="C72" s="63" t="s">
        <v>294</v>
      </c>
      <c r="D72" s="64" t="s">
        <v>295</v>
      </c>
    </row>
    <row r="73" customFormat="false" ht="31.5" hidden="false" customHeight="true" outlineLevel="0" collapsed="false">
      <c r="A73" s="4" t="s">
        <v>296</v>
      </c>
      <c r="B73" s="65" t="str">
        <f aca="true">IF(DC_RenewDate&lt;=TODAY(),"The renewal date is today or in the past: enter your next renewal, expiry or break date.",IF(DC_Months&lt;3,"Less than three months: shorter than the ninety days MDI was given to decide (Ch. 34).","Time remains to collect occupancy data, place roles and price the options before you sign."))</f>
        <v>Time remains to collect occupancy data, place roles and price the options before you sign.</v>
      </c>
      <c r="C73" s="65"/>
      <c r="D73" s="65"/>
    </row>
    <row r="75" customFormat="false" ht="15" hidden="false" customHeight="false" outlineLevel="0" collapsed="false">
      <c r="A75" s="5" t="s">
        <v>297</v>
      </c>
      <c r="B75" s="5" t="s">
        <v>25</v>
      </c>
      <c r="C75" s="5" t="s">
        <v>298</v>
      </c>
      <c r="D75" s="5" t="s">
        <v>164</v>
      </c>
    </row>
    <row r="76" customFormat="false" ht="15" hidden="false" customHeight="false" outlineLevel="0" collapsed="false">
      <c r="A76" s="16" t="s">
        <v>241</v>
      </c>
      <c r="B76" s="68" t="n">
        <f aca="false">DC_PerDesk</f>
        <v>12000</v>
      </c>
      <c r="C76" s="69" t="s">
        <v>299</v>
      </c>
      <c r="D76" s="2" t="str">
        <f aca="false">IFERROR(IF(ROUND(B76,0)=12000,"Matches book","Differs from book default"),"Differs from book default")</f>
        <v>Matches book</v>
      </c>
    </row>
    <row r="77" customFormat="false" ht="15" hidden="false" customHeight="false" outlineLevel="0" collapsed="false">
      <c r="A77" s="16" t="s">
        <v>244</v>
      </c>
      <c r="B77" s="70" t="n">
        <f aca="false">DC_AvgOcc</f>
        <v>0.46</v>
      </c>
      <c r="C77" s="69" t="s">
        <v>300</v>
      </c>
      <c r="D77" s="2" t="str">
        <f aca="false">IFERROR(IF(ROUND(B77,2)=0.46,"Matches book","Differs from book default"),"Differs from book default")</f>
        <v>Matches book</v>
      </c>
    </row>
    <row r="78" customFormat="false" ht="15" hidden="false" customHeight="false" outlineLevel="0" collapsed="false">
      <c r="A78" s="16" t="s">
        <v>248</v>
      </c>
      <c r="B78" s="68" t="n">
        <f aca="false">DC_PerOcc</f>
        <v>26086.9565217391</v>
      </c>
      <c r="C78" s="69" t="s">
        <v>301</v>
      </c>
      <c r="D78" s="2" t="str">
        <f aca="false">IFERROR(IF(AND(B78&gt;26000,B78&lt;26500),"Matches book","Differs from book default"),"Differs from book default")</f>
        <v>Matches book</v>
      </c>
    </row>
    <row r="79" customFormat="false" ht="15" hidden="false" customHeight="false" outlineLevel="0" collapsed="false">
      <c r="A79" s="16" t="s">
        <v>302</v>
      </c>
      <c r="B79" s="41" t="n">
        <f aca="false">DC_PeakPeople</f>
        <v>720</v>
      </c>
      <c r="C79" s="69" t="s">
        <v>303</v>
      </c>
      <c r="D79" s="2" t="str">
        <f aca="false">IFERROR(IF(ROUND(B79,0)=720,"Matches book","Differs from book default"),"Differs from book default")</f>
        <v>Matches book</v>
      </c>
    </row>
    <row r="80" customFormat="false" ht="15" hidden="false" customHeight="false" outlineLevel="0" collapsed="false">
      <c r="A80" s="16" t="s">
        <v>304</v>
      </c>
      <c r="B80" s="41" t="n">
        <f aca="false">DC_Desks*DC_LowOcc</f>
        <v>240</v>
      </c>
      <c r="C80" s="69" t="s">
        <v>305</v>
      </c>
      <c r="D80" s="2" t="str">
        <f aca="false">IFERROR(IF(ROUND(B80,0)=240,"Matches book","Differs from book default"),"Differs from book default")</f>
        <v>Matches book</v>
      </c>
    </row>
    <row r="81" customFormat="false" ht="15" hidden="false" customHeight="false" outlineLevel="0" collapsed="false">
      <c r="A81" s="16" t="s">
        <v>306</v>
      </c>
      <c r="B81" s="71" t="n">
        <f aca="false">DC_Ratio</f>
        <v>3</v>
      </c>
      <c r="C81" s="69" t="s">
        <v>307</v>
      </c>
      <c r="D81" s="2" t="str">
        <f aca="false">IFERROR(IF(ROUND(B81,1)=3,"Matches book","Differs from book default"),"Differs from book default")</f>
        <v>Matches book</v>
      </c>
    </row>
    <row r="82" customFormat="false" ht="15" hidden="false" customHeight="false" outlineLevel="0" collapsed="false">
      <c r="A82" s="57" t="s">
        <v>308</v>
      </c>
    </row>
    <row r="84" customFormat="false" ht="15" hidden="false" customHeight="false" outlineLevel="0" collapsed="false">
      <c r="A84" s="2" t="s">
        <v>20</v>
      </c>
    </row>
  </sheetData>
  <mergeCells count="2">
    <mergeCell ref="B67:D67"/>
    <mergeCell ref="B73:D73"/>
  </mergeCells>
  <dataValidations count="4">
    <dataValidation allowBlank="false" error="Choose 'Entered total' or 'Built from rent'." errorStyle="stop" errorTitle="Choose one" operator="between" showDropDown="false" showErrorMessage="true" showInputMessage="false" sqref="B8" type="list">
      <formula1>"Entered total,Built from rent"</formula1>
      <formula2>0</formula2>
    </dataValidation>
    <dataValidation allowBlank="false" error="Enter a percentage between 0% and 100%." errorStyle="stop" errorTitle="Check value" operator="between" showDropDown="false" showErrorMessage="true" showInputMessage="false" sqref="B20:B24" type="decimal">
      <formula1>0</formula1>
      <formula2>1</formula2>
    </dataValidation>
    <dataValidation allowBlank="false" error="Enter a date." errorStyle="stop" errorTitle="Check value" operator="greaterThan" showDropDown="false" showErrorMessage="true" showInputMessage="false" sqref="B28" type="date">
      <formula1>36526</formula1>
      <formula2>0</formula2>
    </dataValidation>
    <dataValidation allowBlank="false" error="Enter a whole number of workstations greater than zero." errorStyle="stop" errorTitle="Check value" operator="greaterThan" showDropDown="false" showErrorMessage="true" showInputMessage="false" sqref="B7"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Footer>&amp;L&amp;8© 2026 John S. Muir  ·  Free to use within your organization&amp;R&amp;8www.invisibleleadershipseries.com/visibility-trap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2"/>
    <col collapsed="false" customWidth="true" hidden="false" outlineLevel="0" max="7" min="3" style="0" width="17"/>
    <col collapsed="false" customWidth="true" hidden="false" outlineLevel="0" max="8" min="8" style="0" width="70"/>
  </cols>
  <sheetData>
    <row r="1" customFormat="false" ht="19.7" hidden="false" customHeight="false" outlineLevel="0" collapsed="false">
      <c r="A1" s="1" t="s">
        <v>309</v>
      </c>
    </row>
    <row r="2" customFormat="false" ht="15" hidden="false" customHeight="false" outlineLevel="0" collapsed="false">
      <c r="A2" s="2" t="s">
        <v>310</v>
      </c>
    </row>
    <row r="4" customFormat="false" ht="48" hidden="false" customHeight="true" outlineLevel="0" collapsed="false">
      <c r="A4" s="5" t="s">
        <v>311</v>
      </c>
      <c r="B4" s="5" t="s">
        <v>106</v>
      </c>
      <c r="C4" s="5" t="s">
        <v>312</v>
      </c>
      <c r="D4" s="5" t="s">
        <v>313</v>
      </c>
      <c r="E4" s="5" t="s">
        <v>314</v>
      </c>
      <c r="F4" s="5" t="s">
        <v>315</v>
      </c>
      <c r="G4" s="5" t="s">
        <v>316</v>
      </c>
      <c r="H4" s="5" t="s">
        <v>317</v>
      </c>
    </row>
    <row r="5" customFormat="false" ht="22.35" hidden="false" customHeight="false" outlineLevel="0" collapsed="false">
      <c r="A5" s="72" t="s">
        <v>318</v>
      </c>
      <c r="B5" s="7"/>
      <c r="C5" s="73" t="s">
        <v>319</v>
      </c>
      <c r="D5" s="73" t="s">
        <v>320</v>
      </c>
      <c r="E5" s="73" t="s">
        <v>321</v>
      </c>
      <c r="F5" s="73" t="s">
        <v>322</v>
      </c>
      <c r="G5" s="73" t="s">
        <v>323</v>
      </c>
      <c r="H5" s="7"/>
    </row>
    <row r="6" customFormat="false" ht="15" hidden="false" customHeight="false" outlineLevel="0" collapsed="false">
      <c r="A6" s="6" t="s">
        <v>324</v>
      </c>
      <c r="B6" s="7"/>
      <c r="C6" s="7"/>
      <c r="D6" s="7"/>
      <c r="E6" s="7"/>
      <c r="F6" s="7"/>
      <c r="G6" s="7"/>
      <c r="H6" s="7"/>
    </row>
    <row r="7" customFormat="false" ht="31.5" hidden="false" customHeight="true" outlineLevel="0" collapsed="false">
      <c r="A7" s="4" t="s">
        <v>325</v>
      </c>
      <c r="B7" s="46" t="s">
        <v>326</v>
      </c>
      <c r="C7" s="74" t="n">
        <v>0</v>
      </c>
      <c r="D7" s="74" t="n">
        <v>2</v>
      </c>
      <c r="E7" s="74" t="n">
        <v>2</v>
      </c>
      <c r="F7" s="74" t="n">
        <v>1</v>
      </c>
      <c r="G7" s="74" t="n">
        <v>5</v>
      </c>
      <c r="H7" s="10" t="s">
        <v>327</v>
      </c>
    </row>
    <row r="8" customFormat="false" ht="87.75" hidden="false" customHeight="true" outlineLevel="0" collapsed="false">
      <c r="A8" s="4" t="s">
        <v>58</v>
      </c>
      <c r="B8" s="46" t="s">
        <v>328</v>
      </c>
      <c r="C8" s="75" t="n">
        <v>0</v>
      </c>
      <c r="D8" s="75" t="n">
        <v>0.15</v>
      </c>
      <c r="E8" s="76" t="n">
        <f aca="false">SeatReduction</f>
        <v>0.25</v>
      </c>
      <c r="F8" s="75" t="n">
        <v>0.1</v>
      </c>
      <c r="G8" s="75" t="n">
        <v>0.8</v>
      </c>
      <c r="H8" s="10" t="s">
        <v>329</v>
      </c>
    </row>
    <row r="9" customFormat="false" ht="87.75" hidden="false" customHeight="true" outlineLevel="0" collapsed="false">
      <c r="A9" s="4" t="s">
        <v>330</v>
      </c>
      <c r="B9" s="46" t="s">
        <v>331</v>
      </c>
      <c r="C9" s="76" t="n">
        <f aca="false">AttrBase</f>
        <v>0.12</v>
      </c>
      <c r="D9" s="76" t="n">
        <f aca="false">AttrHybrid</f>
        <v>0.08</v>
      </c>
      <c r="E9" s="76" t="n">
        <f aca="false">AttrHybrid</f>
        <v>0.08</v>
      </c>
      <c r="F9" s="75" t="n">
        <v>0.1</v>
      </c>
      <c r="G9" s="76" t="n">
        <f aca="false">AttrHybrid</f>
        <v>0.08</v>
      </c>
      <c r="H9" s="10" t="s">
        <v>332</v>
      </c>
    </row>
    <row r="10" customFormat="false" ht="31.5" hidden="false" customHeight="true" outlineLevel="0" collapsed="false">
      <c r="A10" s="4" t="s">
        <v>333</v>
      </c>
      <c r="B10" s="46" t="s">
        <v>334</v>
      </c>
      <c r="C10" s="77" t="n">
        <v>0</v>
      </c>
      <c r="D10" s="78" t="n">
        <f aca="false">AbsenceDays</f>
        <v>1</v>
      </c>
      <c r="E10" s="78" t="n">
        <f aca="false">AbsenceDays</f>
        <v>1</v>
      </c>
      <c r="F10" s="77" t="n">
        <v>0.5</v>
      </c>
      <c r="G10" s="78" t="n">
        <f aca="false">AbsenceDays</f>
        <v>1</v>
      </c>
      <c r="H10" s="10" t="s">
        <v>335</v>
      </c>
    </row>
    <row r="11" customFormat="false" ht="87.75" hidden="false" customHeight="true" outlineLevel="0" collapsed="false">
      <c r="A11" s="4" t="s">
        <v>77</v>
      </c>
      <c r="B11" s="46" t="s">
        <v>68</v>
      </c>
      <c r="C11" s="79" t="n">
        <v>0</v>
      </c>
      <c r="D11" s="80" t="n">
        <f aca="false">CollabPct</f>
        <v>0.026</v>
      </c>
      <c r="E11" s="80" t="n">
        <f aca="false">CollabPct</f>
        <v>0.026</v>
      </c>
      <c r="F11" s="79" t="n">
        <v>0.013</v>
      </c>
      <c r="G11" s="79" t="n">
        <v>0</v>
      </c>
      <c r="H11" s="10" t="s">
        <v>336</v>
      </c>
    </row>
    <row r="12" customFormat="false" ht="87.75" hidden="false" customHeight="true" outlineLevel="0" collapsed="false">
      <c r="A12" s="4" t="s">
        <v>337</v>
      </c>
      <c r="B12" s="46" t="s">
        <v>338</v>
      </c>
      <c r="C12" s="79" t="n">
        <v>0</v>
      </c>
      <c r="D12" s="79" t="n">
        <v>0.013</v>
      </c>
      <c r="E12" s="79" t="n">
        <v>0</v>
      </c>
      <c r="F12" s="79" t="n">
        <v>0</v>
      </c>
      <c r="G12" s="79" t="n">
        <v>0</v>
      </c>
      <c r="H12" s="10" t="s">
        <v>339</v>
      </c>
    </row>
    <row r="13" customFormat="false" ht="60" hidden="false" customHeight="true" outlineLevel="0" collapsed="false">
      <c r="A13" s="4" t="s">
        <v>340</v>
      </c>
      <c r="B13" s="46" t="s">
        <v>341</v>
      </c>
      <c r="C13" s="75" t="n">
        <v>0</v>
      </c>
      <c r="D13" s="75" t="n">
        <v>1</v>
      </c>
      <c r="E13" s="75" t="n">
        <v>1</v>
      </c>
      <c r="F13" s="75" t="n">
        <v>0.5</v>
      </c>
      <c r="G13" s="75" t="n">
        <v>1</v>
      </c>
      <c r="H13" s="10" t="s">
        <v>342</v>
      </c>
    </row>
    <row r="14" customFormat="false" ht="45.75" hidden="false" customHeight="true" outlineLevel="0" collapsed="false">
      <c r="A14" s="4" t="s">
        <v>96</v>
      </c>
      <c r="B14" s="46" t="s">
        <v>97</v>
      </c>
      <c r="C14" s="81" t="n">
        <v>0</v>
      </c>
      <c r="D14" s="82" t="n">
        <f aca="false">TravelBudget</f>
        <v>2000</v>
      </c>
      <c r="E14" s="82" t="n">
        <f aca="false">TravelBudget</f>
        <v>2000</v>
      </c>
      <c r="F14" s="81" t="n">
        <v>1000</v>
      </c>
      <c r="G14" s="81" t="n">
        <v>3000</v>
      </c>
      <c r="H14" s="10" t="s">
        <v>343</v>
      </c>
    </row>
    <row r="15" customFormat="false" ht="31.5" hidden="false" customHeight="true" outlineLevel="0" collapsed="false">
      <c r="A15" s="4" t="s">
        <v>344</v>
      </c>
      <c r="B15" s="46" t="s">
        <v>345</v>
      </c>
      <c r="C15" s="83" t="n">
        <f aca="false">Headcount</f>
        <v>100</v>
      </c>
      <c r="D15" s="83" t="n">
        <f aca="false">Headcount</f>
        <v>100</v>
      </c>
      <c r="E15" s="83" t="n">
        <f aca="false">Headcount</f>
        <v>100</v>
      </c>
      <c r="F15" s="83" t="n">
        <f aca="false">Headcount</f>
        <v>100</v>
      </c>
      <c r="G15" s="83" t="n">
        <f aca="false">Headcount</f>
        <v>100</v>
      </c>
      <c r="H15" s="10" t="s">
        <v>346</v>
      </c>
    </row>
    <row r="17" customFormat="false" ht="15" hidden="false" customHeight="false" outlineLevel="0" collapsed="false">
      <c r="A17" s="6" t="s">
        <v>137</v>
      </c>
      <c r="B17" s="7"/>
      <c r="C17" s="7"/>
      <c r="D17" s="7"/>
      <c r="E17" s="7"/>
      <c r="F17" s="7"/>
      <c r="G17" s="7"/>
      <c r="H17" s="7"/>
    </row>
    <row r="18" customFormat="false" ht="15" hidden="false" customHeight="false" outlineLevel="0" collapsed="false">
      <c r="A18" s="4" t="s">
        <v>347</v>
      </c>
      <c r="B18" s="46" t="s">
        <v>348</v>
      </c>
      <c r="C18" s="31" t="n">
        <f aca="false">OfficeDaysBase-C7</f>
        <v>5</v>
      </c>
      <c r="D18" s="31" t="n">
        <f aca="false">OfficeDaysBase-D7</f>
        <v>3</v>
      </c>
      <c r="E18" s="31" t="n">
        <f aca="false">OfficeDaysBase-E7</f>
        <v>3</v>
      </c>
      <c r="F18" s="31" t="n">
        <f aca="false">OfficeDaysBase-F7</f>
        <v>4</v>
      </c>
      <c r="G18" s="31" t="n">
        <f aca="false">OfficeDaysBase-G7</f>
        <v>0</v>
      </c>
    </row>
    <row r="19" customFormat="false" ht="15" hidden="false" customHeight="false" outlineLevel="0" collapsed="false">
      <c r="A19" s="4" t="s">
        <v>140</v>
      </c>
      <c r="B19" s="46" t="s">
        <v>349</v>
      </c>
      <c r="C19" s="31" t="n">
        <f aca="false">WorkDays*C7/OfficeDaysBase</f>
        <v>0</v>
      </c>
      <c r="D19" s="31" t="n">
        <f aca="false">WorkDays*D7/OfficeDaysBase</f>
        <v>92</v>
      </c>
      <c r="E19" s="31" t="n">
        <f aca="false">WorkDays*E7/OfficeDaysBase</f>
        <v>92</v>
      </c>
      <c r="F19" s="31" t="n">
        <f aca="false">WorkDays*F7/OfficeDaysBase</f>
        <v>46</v>
      </c>
      <c r="G19" s="31" t="n">
        <f aca="false">WorkDays*G7/OfficeDaysBase</f>
        <v>230</v>
      </c>
    </row>
    <row r="20" customFormat="false" ht="23.85" hidden="false" customHeight="false" outlineLevel="0" collapsed="false">
      <c r="A20" s="4" t="s">
        <v>144</v>
      </c>
      <c r="B20" s="46" t="s">
        <v>350</v>
      </c>
      <c r="C20" s="32" t="n">
        <f aca="false">C19*CommuteMin*ShareReturned/60</f>
        <v>0</v>
      </c>
      <c r="D20" s="32" t="n">
        <f aca="false">D19*CommuteMin*ShareReturned/60</f>
        <v>44.16</v>
      </c>
      <c r="E20" s="32" t="n">
        <f aca="false">E19*CommuteMin*ShareReturned/60</f>
        <v>44.16</v>
      </c>
      <c r="F20" s="32" t="n">
        <f aca="false">F19*CommuteMin*ShareReturned/60</f>
        <v>22.08</v>
      </c>
      <c r="G20" s="32" t="n">
        <f aca="false">G19*CommuteMin*ShareReturned/60</f>
        <v>110.4</v>
      </c>
    </row>
    <row r="22" customFormat="false" ht="15" hidden="false" customHeight="false" outlineLevel="0" collapsed="false">
      <c r="A22" s="6" t="s">
        <v>351</v>
      </c>
      <c r="B22" s="7"/>
      <c r="C22" s="7"/>
      <c r="D22" s="7"/>
      <c r="E22" s="7"/>
      <c r="F22" s="7"/>
      <c r="G22" s="7"/>
      <c r="H22" s="7"/>
    </row>
    <row r="23" customFormat="false" ht="15" hidden="false" customHeight="false" outlineLevel="0" collapsed="false">
      <c r="A23" s="4" t="s">
        <v>47</v>
      </c>
      <c r="B23" s="46" t="s">
        <v>352</v>
      </c>
      <c r="C23" s="17" t="n">
        <f aca="false">ROUND(C20*HourlyRate,0)</f>
        <v>0</v>
      </c>
      <c r="D23" s="17" t="n">
        <f aca="false">ROUND(D20*HourlyRate,0)</f>
        <v>2123</v>
      </c>
      <c r="E23" s="17" t="n">
        <f aca="false">ROUND(E20*HourlyRate,0)</f>
        <v>2123</v>
      </c>
      <c r="F23" s="17" t="n">
        <f aca="false">ROUND(F20*HourlyRate,0)</f>
        <v>1062</v>
      </c>
      <c r="G23" s="17" t="n">
        <f aca="false">ROUND(G20*HourlyRate,0)</f>
        <v>5308</v>
      </c>
    </row>
    <row r="24" customFormat="false" ht="15" hidden="false" customHeight="false" outlineLevel="0" collapsed="false">
      <c r="A24" s="4" t="s">
        <v>54</v>
      </c>
      <c r="B24" s="46" t="s">
        <v>353</v>
      </c>
      <c r="C24" s="17" t="n">
        <f aca="false">ROUND(SeatCostYear*C8,0)</f>
        <v>0</v>
      </c>
      <c r="D24" s="17" t="n">
        <f aca="false">ROUND(SeatCostYear*D8,0)</f>
        <v>1530</v>
      </c>
      <c r="E24" s="17" t="n">
        <f aca="false">ROUND(SeatCostYear*E8,0)</f>
        <v>2550</v>
      </c>
      <c r="F24" s="17" t="n">
        <f aca="false">ROUND(SeatCostYear*F8,0)</f>
        <v>1020</v>
      </c>
      <c r="G24" s="17" t="n">
        <f aca="false">ROUND(SeatCostYear*G8,0)</f>
        <v>8160</v>
      </c>
    </row>
    <row r="25" customFormat="false" ht="23.85" hidden="false" customHeight="false" outlineLevel="0" collapsed="false">
      <c r="A25" s="4" t="s">
        <v>61</v>
      </c>
      <c r="B25" s="46" t="s">
        <v>354</v>
      </c>
      <c r="C25" s="17" t="n">
        <f aca="false">ROUND((AttrBase-C9)*Salary*DepartureCost,0)</f>
        <v>0</v>
      </c>
      <c r="D25" s="17" t="n">
        <f aca="false">ROUND((AttrBase-D9)*Salary*DepartureCost,0)</f>
        <v>2000</v>
      </c>
      <c r="E25" s="17" t="n">
        <f aca="false">ROUND((AttrBase-E9)*Salary*DepartureCost,0)</f>
        <v>2000</v>
      </c>
      <c r="F25" s="17" t="n">
        <f aca="false">ROUND((AttrBase-F9)*Salary*DepartureCost,0)</f>
        <v>1000</v>
      </c>
      <c r="G25" s="17" t="n">
        <f aca="false">ROUND((AttrBase-G9)*Salary*DepartureCost,0)</f>
        <v>2000</v>
      </c>
    </row>
    <row r="26" customFormat="false" ht="15" hidden="false" customHeight="false" outlineLevel="0" collapsed="false">
      <c r="A26" s="4" t="s">
        <v>70</v>
      </c>
      <c r="B26" s="46" t="s">
        <v>355</v>
      </c>
      <c r="C26" s="17" t="n">
        <f aca="false">ROUND(C10*HoursPerDay*HourlyRate,0)</f>
        <v>0</v>
      </c>
      <c r="D26" s="17" t="n">
        <f aca="false">ROUND(D10*HoursPerDay*HourlyRate,0)</f>
        <v>385</v>
      </c>
      <c r="E26" s="17" t="n">
        <f aca="false">ROUND(E10*HoursPerDay*HourlyRate,0)</f>
        <v>385</v>
      </c>
      <c r="F26" s="17" t="n">
        <f aca="false">ROUND(F10*HoursPerDay*HourlyRate,0)</f>
        <v>192</v>
      </c>
      <c r="G26" s="17" t="n">
        <f aca="false">ROUND(G10*HoursPerDay*HourlyRate,0)</f>
        <v>385</v>
      </c>
    </row>
    <row r="27" customFormat="false" ht="15" hidden="false" customHeight="false" outlineLevel="0" collapsed="false">
      <c r="A27" s="84" t="s">
        <v>116</v>
      </c>
      <c r="B27" s="85"/>
      <c r="C27" s="20" t="n">
        <f aca="false">SUM(C23:C26)</f>
        <v>0</v>
      </c>
      <c r="D27" s="20" t="n">
        <f aca="false">SUM(D23:D26)</f>
        <v>6038</v>
      </c>
      <c r="E27" s="20" t="n">
        <f aca="false">SUM(E23:E26)</f>
        <v>7058</v>
      </c>
      <c r="F27" s="20" t="n">
        <f aca="false">SUM(F23:F26)</f>
        <v>3274</v>
      </c>
      <c r="G27" s="20" t="n">
        <f aca="false">SUM(G23:G26)</f>
        <v>15853</v>
      </c>
      <c r="H27" s="19"/>
    </row>
    <row r="29" customFormat="false" ht="15" hidden="false" customHeight="false" outlineLevel="0" collapsed="false">
      <c r="A29" s="6" t="s">
        <v>117</v>
      </c>
      <c r="B29" s="7"/>
      <c r="C29" s="7"/>
      <c r="D29" s="7"/>
      <c r="E29" s="7"/>
      <c r="F29" s="7"/>
      <c r="G29" s="7"/>
      <c r="H29" s="7"/>
    </row>
    <row r="30" customFormat="false" ht="15" hidden="false" customHeight="false" outlineLevel="0" collapsed="false">
      <c r="A30" s="4" t="s">
        <v>77</v>
      </c>
      <c r="B30" s="46" t="s">
        <v>356</v>
      </c>
      <c r="C30" s="17" t="n">
        <f aca="false">ROUND(Salary*C11,0)</f>
        <v>0</v>
      </c>
      <c r="D30" s="17" t="n">
        <f aca="false">ROUND(Salary*D11,0)</f>
        <v>2600</v>
      </c>
      <c r="E30" s="17" t="n">
        <f aca="false">ROUND(Salary*E11,0)</f>
        <v>2600</v>
      </c>
      <c r="F30" s="17" t="n">
        <f aca="false">ROUND(Salary*F11,0)</f>
        <v>1300</v>
      </c>
      <c r="G30" s="17" t="n">
        <f aca="false">ROUND(Salary*G11,0)</f>
        <v>0</v>
      </c>
    </row>
    <row r="31" customFormat="false" ht="15" hidden="false" customHeight="false" outlineLevel="0" collapsed="false">
      <c r="A31" s="4" t="s">
        <v>337</v>
      </c>
      <c r="B31" s="46" t="s">
        <v>357</v>
      </c>
      <c r="C31" s="17" t="n">
        <f aca="false">ROUND(Salary*C12,0)</f>
        <v>0</v>
      </c>
      <c r="D31" s="17" t="n">
        <f aca="false">ROUND(Salary*D12,0)</f>
        <v>1300</v>
      </c>
      <c r="E31" s="17" t="n">
        <f aca="false">ROUND(Salary*E12,0)</f>
        <v>0</v>
      </c>
      <c r="F31" s="17" t="n">
        <f aca="false">ROUND(Salary*F12,0)</f>
        <v>0</v>
      </c>
      <c r="G31" s="17" t="n">
        <f aca="false">ROUND(Salary*G12,0)</f>
        <v>0</v>
      </c>
    </row>
    <row r="32" customFormat="false" ht="23.85" hidden="false" customHeight="false" outlineLevel="0" collapsed="false">
      <c r="A32" s="4" t="s">
        <v>79</v>
      </c>
      <c r="B32" s="46" t="s">
        <v>358</v>
      </c>
      <c r="C32" s="17" t="n">
        <f aca="false">ROUND(NewHireCost*C9*C13,0)</f>
        <v>0</v>
      </c>
      <c r="D32" s="17" t="n">
        <f aca="false">ROUND(NewHireCost*D9*D13,0)</f>
        <v>620</v>
      </c>
      <c r="E32" s="17" t="n">
        <f aca="false">ROUND(NewHireCost*E9*E13,0)</f>
        <v>620</v>
      </c>
      <c r="F32" s="17" t="n">
        <f aca="false">ROUND(NewHireCost*F9*F13,0)</f>
        <v>387</v>
      </c>
      <c r="G32" s="17" t="n">
        <f aca="false">ROUND(NewHireCost*G9*G13,0)</f>
        <v>620</v>
      </c>
    </row>
    <row r="33" customFormat="false" ht="15" hidden="false" customHeight="false" outlineLevel="0" collapsed="false">
      <c r="A33" s="4" t="s">
        <v>96</v>
      </c>
      <c r="B33" s="46" t="s">
        <v>359</v>
      </c>
      <c r="C33" s="17" t="n">
        <f aca="false">ROUND(C14,0)</f>
        <v>0</v>
      </c>
      <c r="D33" s="17" t="n">
        <f aca="false">ROUND(D14,0)</f>
        <v>2000</v>
      </c>
      <c r="E33" s="17" t="n">
        <f aca="false">ROUND(E14,0)</f>
        <v>2000</v>
      </c>
      <c r="F33" s="17" t="n">
        <f aca="false">ROUND(F14,0)</f>
        <v>1000</v>
      </c>
      <c r="G33" s="17" t="n">
        <f aca="false">ROUND(G14,0)</f>
        <v>3000</v>
      </c>
    </row>
    <row r="34" customFormat="false" ht="15" hidden="false" customHeight="false" outlineLevel="0" collapsed="false">
      <c r="A34" s="84" t="s">
        <v>121</v>
      </c>
      <c r="B34" s="85"/>
      <c r="C34" s="20" t="n">
        <f aca="false">SUM(C30:C33)</f>
        <v>0</v>
      </c>
      <c r="D34" s="20" t="n">
        <f aca="false">SUM(D30:D33)</f>
        <v>6520</v>
      </c>
      <c r="E34" s="20" t="n">
        <f aca="false">SUM(E30:E33)</f>
        <v>5220</v>
      </c>
      <c r="F34" s="20" t="n">
        <f aca="false">SUM(F30:F33)</f>
        <v>2687</v>
      </c>
      <c r="G34" s="20" t="n">
        <f aca="false">SUM(G30:G33)</f>
        <v>3620</v>
      </c>
      <c r="H34" s="19"/>
    </row>
    <row r="36" customFormat="false" ht="15" hidden="false" customHeight="false" outlineLevel="0" collapsed="false">
      <c r="A36" s="86" t="s">
        <v>360</v>
      </c>
      <c r="B36" s="87" t="s">
        <v>361</v>
      </c>
      <c r="C36" s="23" t="n">
        <f aca="false">C27-C34</f>
        <v>0</v>
      </c>
      <c r="D36" s="23" t="n">
        <f aca="false">D27-D34</f>
        <v>-482</v>
      </c>
      <c r="E36" s="23" t="n">
        <f aca="false">E27-E34</f>
        <v>1838</v>
      </c>
      <c r="F36" s="23" t="n">
        <f aca="false">F27-F34</f>
        <v>587</v>
      </c>
      <c r="G36" s="23" t="n">
        <f aca="false">G27-G34</f>
        <v>12233</v>
      </c>
      <c r="H36" s="88"/>
    </row>
    <row r="37" customFormat="false" ht="15" hidden="false" customHeight="false" outlineLevel="0" collapsed="false">
      <c r="A37" s="46" t="s">
        <v>124</v>
      </c>
      <c r="B37" s="46"/>
      <c r="C37" s="24" t="n">
        <f aca="false">C36/Salary</f>
        <v>0</v>
      </c>
      <c r="D37" s="24" t="n">
        <f aca="false">D36/Salary</f>
        <v>-0.00482</v>
      </c>
      <c r="E37" s="24" t="n">
        <f aca="false">E36/Salary</f>
        <v>0.01838</v>
      </c>
      <c r="F37" s="24" t="n">
        <f aca="false">F36/Salary</f>
        <v>0.00587</v>
      </c>
      <c r="G37" s="24" t="n">
        <f aca="false">G36/Salary</f>
        <v>0.12233</v>
      </c>
    </row>
    <row r="38" customFormat="false" ht="15" hidden="false" customHeight="false" outlineLevel="0" collapsed="false">
      <c r="A38" s="3" t="s">
        <v>362</v>
      </c>
      <c r="B38" s="46" t="s">
        <v>363</v>
      </c>
      <c r="C38" s="89" t="n">
        <f aca="false">C36*C15</f>
        <v>0</v>
      </c>
      <c r="D38" s="89" t="n">
        <f aca="false">D36*D15</f>
        <v>-48200</v>
      </c>
      <c r="E38" s="89" t="n">
        <f aca="false">E36*E15</f>
        <v>183800</v>
      </c>
      <c r="F38" s="89" t="n">
        <f aca="false">F36*F15</f>
        <v>58700</v>
      </c>
      <c r="G38" s="89" t="n">
        <f aca="false">G36*G15</f>
        <v>1223300</v>
      </c>
    </row>
    <row r="39" customFormat="false" ht="15" hidden="false" customHeight="false" outlineLevel="0" collapsed="false">
      <c r="A39" s="46" t="s">
        <v>364</v>
      </c>
      <c r="B39" s="46" t="s">
        <v>365</v>
      </c>
      <c r="C39" s="90" t="n">
        <f aca="false">C36-$E$36</f>
        <v>-1838</v>
      </c>
      <c r="D39" s="90" t="n">
        <f aca="false">D36-$E$36</f>
        <v>-2320</v>
      </c>
      <c r="E39" s="90" t="n">
        <f aca="false">E36-$E$36</f>
        <v>0</v>
      </c>
      <c r="F39" s="90" t="n">
        <f aca="false">F36-$E$36</f>
        <v>-1251</v>
      </c>
      <c r="G39" s="90" t="n">
        <f aca="false">G36-$E$36</f>
        <v>10395</v>
      </c>
    </row>
    <row r="41" customFormat="false" ht="15" hidden="false" customHeight="false" outlineLevel="0" collapsed="false">
      <c r="A41" s="27" t="s">
        <v>366</v>
      </c>
      <c r="B41" s="28"/>
      <c r="C41" s="28"/>
      <c r="D41" s="28"/>
      <c r="E41" s="28"/>
      <c r="F41" s="28"/>
      <c r="G41" s="28"/>
      <c r="H41" s="28"/>
    </row>
    <row r="42" customFormat="false" ht="23.85" hidden="false" customHeight="false" outlineLevel="0" collapsed="false">
      <c r="A42" s="4" t="s">
        <v>367</v>
      </c>
      <c r="B42" s="46" t="s">
        <v>368</v>
      </c>
      <c r="C42" s="29" t="n">
        <f aca="false">C19*CommuteMin*(1-ShareReturned)/60</f>
        <v>0</v>
      </c>
      <c r="D42" s="29" t="n">
        <f aca="false">D19*CommuteMin*(1-ShareReturned)/60</f>
        <v>66.24</v>
      </c>
      <c r="E42" s="29" t="n">
        <f aca="false">E19*CommuteMin*(1-ShareReturned)/60</f>
        <v>66.24</v>
      </c>
      <c r="F42" s="29" t="n">
        <f aca="false">F19*CommuteMin*(1-ShareReturned)/60</f>
        <v>33.12</v>
      </c>
      <c r="G42" s="29" t="n">
        <f aca="false">G19*CommuteMin*(1-ShareReturned)/60</f>
        <v>165.6</v>
      </c>
    </row>
    <row r="43" customFormat="false" ht="15" hidden="false" customHeight="false" outlineLevel="0" collapsed="false">
      <c r="A43" s="4" t="s">
        <v>134</v>
      </c>
      <c r="B43" s="46" t="s">
        <v>369</v>
      </c>
      <c r="C43" s="17" t="n">
        <f aca="false">C19*OfficeDayCost</f>
        <v>0</v>
      </c>
      <c r="D43" s="17" t="n">
        <f aca="false">D19*OfficeDayCost</f>
        <v>3195.16</v>
      </c>
      <c r="E43" s="17" t="n">
        <f aca="false">E19*OfficeDayCost</f>
        <v>3195.16</v>
      </c>
      <c r="F43" s="17" t="n">
        <f aca="false">F19*OfficeDayCost</f>
        <v>1597.58</v>
      </c>
      <c r="G43" s="17" t="n">
        <f aca="false">G19*OfficeDayCost</f>
        <v>7987.9</v>
      </c>
    </row>
    <row r="45" customFormat="false" ht="43.5" hidden="false" customHeight="true" outlineLevel="0" collapsed="false">
      <c r="A45" s="3" t="s">
        <v>370</v>
      </c>
      <c r="E45" s="2" t="str">
        <f aca="false">IF(E36=Net,"Matches Model","Differs from Model")</f>
        <v>Matches Model</v>
      </c>
      <c r="F45" s="2" t="str">
        <f aca="false">IF(E36=1838,"Matches book","Differs from book default")</f>
        <v>Matches book</v>
      </c>
      <c r="H45" s="39" t="s">
        <v>371</v>
      </c>
    </row>
    <row r="46" customFormat="false" ht="15" hidden="false" customHeight="false" outlineLevel="0" collapsed="false">
      <c r="A46" s="40" t="s">
        <v>372</v>
      </c>
      <c r="C46" s="2" t="str">
        <f aca="false">IF(C36=0,"Zero, as expected","Not zero: check the on-site assumptions")</f>
        <v>Zero, as expected</v>
      </c>
    </row>
    <row r="48" customFormat="false" ht="15" hidden="false" customHeight="false" outlineLevel="0" collapsed="false">
      <c r="A48" s="6" t="s">
        <v>373</v>
      </c>
      <c r="B48" s="7"/>
      <c r="C48" s="7"/>
      <c r="D48" s="7"/>
      <c r="E48" s="7"/>
      <c r="F48" s="7"/>
      <c r="G48" s="7"/>
      <c r="H48" s="7"/>
    </row>
    <row r="49" customFormat="false" ht="30" hidden="false" customHeight="true" outlineLevel="0" collapsed="false">
      <c r="A49" s="91" t="s">
        <v>312</v>
      </c>
      <c r="B49" s="92" t="s">
        <v>374</v>
      </c>
      <c r="C49" s="92"/>
      <c r="D49" s="92"/>
      <c r="E49" s="92"/>
      <c r="F49" s="92"/>
      <c r="G49" s="92"/>
      <c r="H49" s="92"/>
    </row>
    <row r="50" customFormat="false" ht="60" hidden="false" customHeight="true" outlineLevel="0" collapsed="false">
      <c r="A50" s="91" t="s">
        <v>313</v>
      </c>
      <c r="B50" s="92" t="s">
        <v>375</v>
      </c>
      <c r="C50" s="92"/>
      <c r="D50" s="92"/>
      <c r="E50" s="92"/>
      <c r="F50" s="92"/>
      <c r="G50" s="92"/>
      <c r="H50" s="92"/>
    </row>
    <row r="51" customFormat="false" ht="30" hidden="false" customHeight="true" outlineLevel="0" collapsed="false">
      <c r="A51" s="91" t="s">
        <v>314</v>
      </c>
      <c r="B51" s="92" t="s">
        <v>376</v>
      </c>
      <c r="C51" s="92"/>
      <c r="D51" s="92"/>
      <c r="E51" s="92"/>
      <c r="F51" s="92"/>
      <c r="G51" s="92"/>
      <c r="H51" s="92"/>
    </row>
    <row r="52" customFormat="false" ht="60" hidden="false" customHeight="true" outlineLevel="0" collapsed="false">
      <c r="A52" s="91" t="s">
        <v>315</v>
      </c>
      <c r="B52" s="92" t="s">
        <v>377</v>
      </c>
      <c r="C52" s="92"/>
      <c r="D52" s="92"/>
      <c r="E52" s="92"/>
      <c r="F52" s="92"/>
      <c r="G52" s="92"/>
      <c r="H52" s="92"/>
    </row>
    <row r="53" customFormat="false" ht="45" hidden="false" customHeight="true" outlineLevel="0" collapsed="false">
      <c r="A53" s="91" t="s">
        <v>316</v>
      </c>
      <c r="B53" s="92" t="s">
        <v>378</v>
      </c>
      <c r="C53" s="92"/>
      <c r="D53" s="92"/>
      <c r="E53" s="92"/>
      <c r="F53" s="92"/>
      <c r="G53" s="92"/>
      <c r="H53" s="92"/>
    </row>
    <row r="54" customFormat="false" ht="19.5" hidden="false" customHeight="true" outlineLevel="0" collapsed="false">
      <c r="A54" s="91" t="s">
        <v>379</v>
      </c>
      <c r="B54" s="92" t="s">
        <v>380</v>
      </c>
      <c r="C54" s="92"/>
      <c r="D54" s="92"/>
      <c r="E54" s="92"/>
      <c r="F54" s="92"/>
      <c r="G54" s="92"/>
      <c r="H54" s="92"/>
    </row>
    <row r="56" customFormat="false" ht="15" hidden="false" customHeight="false" outlineLevel="0" collapsed="false">
      <c r="A56" s="2" t="s">
        <v>20</v>
      </c>
    </row>
  </sheetData>
  <mergeCells count="6">
    <mergeCell ref="B49:H49"/>
    <mergeCell ref="B50:H50"/>
    <mergeCell ref="B51:H51"/>
    <mergeCell ref="B52:H52"/>
    <mergeCell ref="B53:H53"/>
    <mergeCell ref="B54:H54"/>
  </mergeCells>
  <dataValidations count="2">
    <dataValidation allowBlank="false" error="Enter a percentage between 0% and 100%." errorStyle="stop" errorTitle="Check value" operator="between" showDropDown="false" showErrorMessage="true" showInputMessage="false" sqref="C8:G9 C11:G13" type="decimal">
      <formula1>0</formula1>
      <formula2>1</formula2>
    </dataValidation>
    <dataValidation allowBlank="false" error="Enter a value between 0 and 5 home days." errorStyle="stop" errorTitle="Check value" operator="between" showDropDown="false" showErrorMessage="true" showInputMessage="false" sqref="C7:G7" type="decimal">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Footer>&amp;L&amp;8© 2026 John S. Muir  ·  Free to use within your organization&amp;R&amp;8www.invisibleleadershipseries.com/visibility-trap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2026-10-04T20:04:01Z</dcterms:created>
  <dc:creator>openpyxl</dc:creator>
  <dc:description/>
  <dc:language>en-US</dc:language>
  <cp:lastModifiedBy/>
  <dcterms:modified xsi:type="dcterms:W3CDTF">2026-10-04T20:04:01Z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